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ariants" sheetId="1" state="visible" r:id="rId2"/>
    <sheet name="Gene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<sst xmlns="http://schemas.openxmlformats.org/spreadsheetml/2006/main" count="15594" uniqueCount="3209">
  <si>
    <t xml:space="preserve">Comment</t>
  </si>
  <si>
    <t xml:space="preserve">UCSC</t>
  </si>
  <si>
    <t xml:space="preserve">Chr</t>
  </si>
  <si>
    <t xml:space="preserve">Start</t>
  </si>
  <si>
    <t xml:space="preserve">End</t>
  </si>
  <si>
    <t xml:space="preserve">Ref</t>
  </si>
  <si>
    <t xml:space="preserve">Alt</t>
  </si>
  <si>
    <t xml:space="preserve">VCF.QUAL</t>
  </si>
  <si>
    <t xml:space="preserve">VCF.DP</t>
  </si>
  <si>
    <t xml:space="preserve">VCF.AD</t>
  </si>
  <si>
    <t xml:space="preserve">HGMD</t>
  </si>
  <si>
    <t xml:space="preserve">avsnp150</t>
  </si>
  <si>
    <t xml:space="preserve">AnnoFit.GeneName</t>
  </si>
  <si>
    <t xml:space="preserve">AnnoFit.Func</t>
  </si>
  <si>
    <t xml:space="preserve">AnnoFit.ExonicFunc</t>
  </si>
  <si>
    <t xml:space="preserve">AnnoFit.Details</t>
  </si>
  <si>
    <t xml:space="preserve">AnnoFit.PopFreqMax</t>
  </si>
  <si>
    <t xml:space="preserve">non_topmed_AF_popmax</t>
  </si>
  <si>
    <t xml:space="preserve">non_neuro_AF_popmax</t>
  </si>
  <si>
    <t xml:space="preserve">non_cancer_AF_popmax</t>
  </si>
  <si>
    <t xml:space="preserve">controls_AF_popmax</t>
  </si>
  <si>
    <t xml:space="preserve">AnnoFit.ExonPred</t>
  </si>
  <si>
    <t xml:space="preserve">AnnoFit.SplicePred</t>
  </si>
  <si>
    <t xml:space="preserve">regsnp_disease</t>
  </si>
  <si>
    <t xml:space="preserve">regsnp_splicing_site</t>
  </si>
  <si>
    <t xml:space="preserve">AnnoFit.Conservation</t>
  </si>
  <si>
    <t xml:space="preserve">InterVar_automated</t>
  </si>
  <si>
    <t xml:space="preserve">CLNSIG</t>
  </si>
  <si>
    <t xml:space="preserve">VCF.GT</t>
  </si>
  <si>
    <t xml:space="preserve">Annofit.Compound</t>
  </si>
  <si>
    <t xml:space="preserve">pLi</t>
  </si>
  <si>
    <t xml:space="preserve">Gene_full_name</t>
  </si>
  <si>
    <t xml:space="preserve">Function_description</t>
  </si>
  <si>
    <t xml:space="preserve">Disease_description</t>
  </si>
  <si>
    <t xml:space="preserve">GIAB_Problems</t>
  </si>
  <si>
    <t xml:space="preserve">ENCODE_Blacklist</t>
  </si>
  <si>
    <t xml:space="preserve">UCSC_UnusualRegions</t>
  </si>
  <si>
    <t xml:space="preserve">NCBI_Problems</t>
  </si>
  <si>
    <t xml:space="preserve">chr14</t>
  </si>
  <si>
    <t xml:space="preserve">C</t>
  </si>
  <si>
    <t xml:space="preserve">T</t>
  </si>
  <si>
    <t xml:space="preserve">2312.64</t>
  </si>
  <si>
    <t xml:space="preserve">169</t>
  </si>
  <si>
    <t xml:space="preserve">78,91</t>
  </si>
  <si>
    <t xml:space="preserve">CS134297</t>
  </si>
  <si>
    <t xml:space="preserve">exonic;splicing</t>
  </si>
  <si>
    <t xml:space="preserve">nonsynonymous SNV</t>
  </si>
  <si>
    <t xml:space="preserve">NM_006432:exon4:c.441+1G&gt;A;NPC2:NM_001363688:exon4:c.G442A:p.V148I;uc001xpy.3:exon4:c.441+1G&gt;A;ENST00000434013:exon4:c.441+1G&gt;A;ENST00000555619:exon4:c.441+1G&gt;A;ENST00000554482:exon3:c.236+1G&gt;A;ENST00000554482:exon3:UTR3;ENST00000556009:exon4:c.506+1G&gt;A;ENSG00000119655:ENST00000553490:exon4:c.G442A:p.V148I,ENSG00000119655:ENST00000557510:exon4:c.G442A:p.V148I</t>
  </si>
  <si>
    <t xml:space="preserve">3/9</t>
  </si>
  <si>
    <t xml:space="preserve">D</t>
  </si>
  <si>
    <t xml:space="preserve">.</t>
  </si>
  <si>
    <t xml:space="preserve">1/7</t>
  </si>
  <si>
    <t xml:space="preserve">Conflicting_interpretations_of_pathogenicity</t>
  </si>
  <si>
    <t xml:space="preserve">0/1</t>
  </si>
  <si>
    <t xml:space="preserve">1</t>
  </si>
  <si>
    <t xml:space="preserve">0.00870069266662882</t>
  </si>
  <si>
    <t xml:space="preserve">Niemann-Pick disease, type C2</t>
  </si>
  <si>
    <t xml:space="preserve">FUNCTION: Intracellular cholesterol transporter which acts in concert with NPC1 and plays an important role in the egress of cholesterol from the endosomal/lysosomal compartment. Both NPC1 and NPC2 function as the cellular 'tag team duo' (TTD) to catalyze the mobilization of cholesterol within the multivesicular environment of the late endosome (LE) to effect egress through the limiting bilayer of the LE. NPC2 binds unesterified cholesterol that has been released from LDLs in the lumen of the late endosomes/lysosomes and transfers it to the cholesterol-binding pocket of the N-terminal domain of NPC1. Cholesterol binds to NPC1 with the hydroxyl group buried in the binding pocket and is exported from the limiting membrane of late endosomes/ lysosomes to the ER and plasma membrane by an unknown mechanism. The secreted form of NCP2 regulates biliary cholesterol secretion via stimulation of ABCG5/ABCG8-mediated cholesterol transport. {ECO:0000269|PubMed:17018531, ECO:0000269|PubMed:18772377, ECO:0000269|PubMed:18823126}.; </t>
  </si>
  <si>
    <t xml:space="preserve">DISEASE: Niemann-Pick disease C2 (NPC2) [MIM:607625]: A lysosomal storage disorder that affects the viscera and the central nervous system. It is due to defective intracellular processing and transport of low-density lipoprotein derived cholesterol. It causes accumulation of cholesterol in lysosomes, with delayed induction of cholesterol homeostatic reactions. Niemann-Pick disease type C2 has a highly variable clinical phenotype. Clinical features include variable hepatosplenomegaly and severe progressive neurological dysfunction such as ataxia, dystonia and dementia. The age of onset can vary from infancy to late adulthood. {ECO:0000269|PubMed:11125141, ECO:0000269|PubMed:11567215, ECO:0000269|PubMed:12447927, ECO:0000269|PubMed:12955717, ECO:0000269|PubMed:15937921, ECO:0000269|PubMed:16126423}. Note=The disease is caused by mutations affecting the gene represented in this entry.; </t>
  </si>
  <si>
    <t xml:space="preserve">chr15</t>
  </si>
  <si>
    <t xml:space="preserve">311.64</t>
  </si>
  <si>
    <t xml:space="preserve">29</t>
  </si>
  <si>
    <t xml:space="preserve">19,10</t>
  </si>
  <si>
    <t xml:space="preserve">CS088022</t>
  </si>
  <si>
    <t xml:space="preserve">splicing</t>
  </si>
  <si>
    <t xml:space="preserve">NM_001352519:exon2:c.99+2T&gt;C;NM_001352520:exon3:c.128+2T&gt;C;NM_024608:exon2:c.434+2T&gt;C;NM_001256552:exon2:c.692+2T&gt;C;uc002bad.4:exon2:c.434+2T&gt;C;uc031qst.1:exon3:c.563+2T&gt;C;uc002bae.4:exon2:c.692+2T&gt;C;ENST00000355059:exon2:c.434+2T&gt;C;ENST00000568519:exon2:c.434+2T&gt;C;ENST00000567657:exon3:c.434+2T&gt;C;ENST00000564784:exon3:c.434+2T&gt;C;ENST00000569035:exon2:c.434+2T&gt;C;ENST00000565051:exon3:c.434+2T&gt;C;ENST00000567005:exon2:c.434+2T&gt;C</t>
  </si>
  <si>
    <t xml:space="preserve">2/2</t>
  </si>
  <si>
    <t xml:space="preserve">on</t>
  </si>
  <si>
    <t xml:space="preserve">4/7</t>
  </si>
  <si>
    <t xml:space="preserve">Benign</t>
  </si>
  <si>
    <t xml:space="preserve">0.000108858344700828</t>
  </si>
  <si>
    <t xml:space="preserve">nei like DNA glycosylase 1</t>
  </si>
  <si>
    <t xml:space="preserve">FUNCTION: Involved in base excision repair of DNA damaged by oxidation or by mutagenic agents. Acts as DNA glycosylase that recognizes and removes damaged bases. Has a preference for oxidized pyrimidines, such as thymine glycol, formamidopyrimidine (Fapy) and 5-hydroxyuracil. Has marginal activity towards 8- oxoguanine. Has AP (apurinic/apyrimidinic) lyase activity and introduces nicks in the DNA strand. Cleaves the DNA backbone by beta-delta elimination to generate a single-strand break at the site of the removed base with both 3'- and 5'-phosphates. Has DNA glycosylase/lyase activity towards mismatched uracil and thymine, in particular in U:C and T:C mismatches. Specifically binds 5- hydroxymethylcytosine (5hmC), suggesting that it acts as a specific reader of 5hmC. {ECO:0000269|PubMed:11904416, ECO:0000269|PubMed:12200441, ECO:0000269|PubMed:12509226, ECO:0000269|PubMed:14522990}.; </t>
  </si>
  <si>
    <t xml:space="preserve">chr11</t>
  </si>
  <si>
    <t xml:space="preserve">G</t>
  </si>
  <si>
    <t xml:space="preserve">A</t>
  </si>
  <si>
    <t xml:space="preserve">561.64</t>
  </si>
  <si>
    <t xml:space="preserve">41</t>
  </si>
  <si>
    <t xml:space="preserve">21,20</t>
  </si>
  <si>
    <t xml:space="preserve">CS083984</t>
  </si>
  <si>
    <t xml:space="preserve">intronic</t>
  </si>
  <si>
    <t xml:space="preserve">PD</t>
  </si>
  <si>
    <t xml:space="preserve">off</t>
  </si>
  <si>
    <t xml:space="preserve">0.972837398501847</t>
  </si>
  <si>
    <t xml:space="preserve">serpin peptidase inhibitor, clade G (C1 inhibitor), member 1</t>
  </si>
  <si>
    <t xml:space="preserve">FUNCTION: Activation of the C1 complex is under control of the C1- inhibitor. It forms a proteolytically inactive stoichiometric complex with the C1r or C1s proteases. May play a potentially crucial role in regulating important physiological pathways including complement activation, blood coagulation, fibrinolysis and the generation of kinins. Very efficient inhibitor of FXIIa. Inhibits chymotrypsin and kallikrein. {ECO:0000269|PubMed:8495195}.; </t>
  </si>
  <si>
    <t xml:space="preserve">DISEASE: Hereditary angioedema (HAE) [MIM:106100]: An autosomal dominant disorder characterized by episodic local swelling involving subcutaneous or submucous tissue of the upper respiratory and gastrointestinal tracts, face, extremities, and genitalia. Hereditary angioedema due to C1 esterase inhibitor deficiency is comprised of two clinically indistinguishable forms. In hereditary angioedema type 1, serum levels of C1 esterase inhibitor are decreased, while in type 2, the levels are normal or elevated, but the protein is non-functional. {ECO:0000269|PubMed:12773530, ECO:0000269|PubMed:1363816, ECO:0000269|PubMed:1451784, ECO:0000269|PubMed:14635117, ECO:0000269|PubMed:16409206, ECO:0000269|PubMed:2118657, ECO:0000269|PubMed:2296585, ECO:0000269|PubMed:22994404, ECO:0000269|PubMed:2365061, ECO:0000269|PubMed:24456027, ECO:0000269|PubMed:3178731, ECO:0000269|PubMed:7814636, ECO:0000269|PubMed:7883978, ECO:0000269|PubMed:8172583, ECO:0000269|PubMed:8529136, ECO:0000269|PubMed:8755917, ECO:0000269|Ref.41}. Note=The disease is caused by mutations affecting the gene represented in this entry.; </t>
  </si>
  <si>
    <t xml:space="preserve">REC</t>
  </si>
  <si>
    <t xml:space="preserve">1578.64</t>
  </si>
  <si>
    <t xml:space="preserve">131</t>
  </si>
  <si>
    <t xml:space="preserve">67,64</t>
  </si>
  <si>
    <t xml:space="preserve">CM970326</t>
  </si>
  <si>
    <t xml:space="preserve">exonic</t>
  </si>
  <si>
    <t xml:space="preserve">stopgain</t>
  </si>
  <si>
    <t xml:space="preserve">TPP1:NM_000391:exon6:c.C622T:p.R208X;TPP1:uc001mel.1:exon6:c.C622T:p.R208X;ENSG00000166340:ENST00000299427:exon6:c.C622T:p.R208X</t>
  </si>
  <si>
    <t xml:space="preserve">3/3</t>
  </si>
  <si>
    <t xml:space="preserve">2/7</t>
  </si>
  <si>
    <t xml:space="preserve">Pathogenic</t>
  </si>
  <si>
    <t xml:space="preserve">0.0257560632861161</t>
  </si>
  <si>
    <t xml:space="preserve">tripeptidyl peptidase I</t>
  </si>
  <si>
    <t xml:space="preserve">FUNCTION: Lysosomal serine protease with tripeptidyl-peptidase I activity. May act as a non-specific lysosomal peptidase which generates tripeptides from the breakdown products produced by lysosomal proteinases. Requires substrates with an unsubstituted N-terminus (By similarity). {ECO:0000250}.; </t>
  </si>
  <si>
    <t xml:space="preserve">DISEASE: Ceroid lipofuscinosis, neuronal, 2 (CLN2) [MIM:204500]: A form of neuronal ceroid lipofuscinosis. Neuronal ceroid lipofuscinoses are progressive neurodegenerative, lysosomal storage diseases characterized by intracellular accumulation of autofluorescent liposomal material, and clinically by seizures, dementia, visual loss, and/or cerebral atrophy. The lipopigment pattern seen most often in CLN2 consists of curvilinear profiles. {ECO:0000269|PubMed:10330339, ECO:0000269|PubMed:10665500, ECO:0000269|PubMed:11241479, ECO:0000269|PubMed:11339651, ECO:0000269|PubMed:11589012, ECO:0000269|PubMed:12376936, ECO:0000269|PubMed:12414822, ECO:0000269|PubMed:12698559, ECO:0000269|PubMed:19201763, ECO:0000269|PubMed:20340139, ECO:0000269|PubMed:21990111, ECO:0000269|PubMed:22612257, ECO:0000269|PubMed:9295267}. Note=The disease is caused by mutations affecting the gene represented in this entry.; DISEASE: Spinocerebellar ataxia, autosomal recessive, 7 (SCAR7) [MIM:609270]: Spinocerebellar ataxia defines a clinically and genetically heterogeneous group of cerebellar disorders. Patients show progressive incoordination of gait and often poor coordination of hands, speech and eye movements, due to degeneration of the cerebellum with variable involvement of the brainstem and spinal cord. SCAR7 patients show difficulty walking and writing, dysarthria, limb ataxia, and cerebellar atrophy. {ECO:0000269|PubMed:23418007}. Note=The disease is caused by mutations affecting the gene represented in this entry.; </t>
  </si>
  <si>
    <t xml:space="preserve">chr19</t>
  </si>
  <si>
    <t xml:space="preserve">875.64</t>
  </si>
  <si>
    <t xml:space="preserve">59</t>
  </si>
  <si>
    <t xml:space="preserve">24,35</t>
  </si>
  <si>
    <t xml:space="preserve">CM952239</t>
  </si>
  <si>
    <t xml:space="preserve">ICAM4:NM_001039132:exon1:c.A299G:p.Q100R,ICAM4:NM_001544:exon1:c.A299G:p.Q100R;ICAM4:uc002mnr.2:exon1:c.A299G:p.Q100R,ICAM4:uc002mns.2:exon1:c.A299G:p.Q100R,ICAM4:uc002mnt.2:exon1:c.A299G:p.Q100R;ENSG00000105371:ENST00000340992:exon1:c.A299G:p.Q100R,ENSG00000105371:ENST00000380770:exon1:c.A299G:p.Q100R,ENSG00000105371:ENST00000393717:exon1:c.A299G:p.Q100R</t>
  </si>
  <si>
    <t xml:space="preserve">2/10</t>
  </si>
  <si>
    <t xml:space="preserve">0/7</t>
  </si>
  <si>
    <t xml:space="preserve">Uncertain significance</t>
  </si>
  <si>
    <t xml:space="preserve">Affects</t>
  </si>
  <si>
    <t xml:space="preserve">1.53444721877808e-05</t>
  </si>
  <si>
    <t xml:space="preserve">intercellular adhesion molecule 4 (Landsteiner-Wiener blood group)</t>
  </si>
  <si>
    <t xml:space="preserve">FUNCTION: ICAM proteins are ligands for the leukocyte adhesion protein LFA-1 (integrin alpha-L/beta-2). ICAM4 is also a ligand for alpha-4/beta-1 and alpha-V integrins. {ECO:0000269|PubMed:11435317}.; </t>
  </si>
  <si>
    <t xml:space="preserve">chr3</t>
  </si>
  <si>
    <t xml:space="preserve">1642.64</t>
  </si>
  <si>
    <t xml:space="preserve">116</t>
  </si>
  <si>
    <t xml:space="preserve">52,64</t>
  </si>
  <si>
    <t xml:space="preserve">CM136310</t>
  </si>
  <si>
    <t xml:space="preserve">PROS1:NM_000313:exon10:c.T1095G:p.N365K,PROS1:NM_001314077:exon11:c.T1191G:p.N397K;PROS1:uc010hoo.3:exon9:c.T702G:p.N234K,PROS1:uc003dqz.4:exon10:c.T702G:p.N234K,PROS1:uc003drb.4:exon10:c.T1095G:p.N365K;ENSG00000184500:ENST00000394236:exon10:c.T1095G:p.N365K,ENSG00000184500:ENST00000407433:exon10:c.T702G:p.N234K</t>
  </si>
  <si>
    <t xml:space="preserve">6/10</t>
  </si>
  <si>
    <t xml:space="preserve">0.000209233911903675</t>
  </si>
  <si>
    <t xml:space="preserve">protein S (alpha)</t>
  </si>
  <si>
    <t xml:space="preserve">FUNCTION: Anticoagulant plasma protein; it is a cofactor to activated protein C in the degradation of coagulation factors Va and VIIIa. It helps to prevent coagulation and stimulating fibrinolysis.; </t>
  </si>
  <si>
    <t xml:space="preserve">DISEASE: Thrombophilia due to protein S deficiency, autosomal dominant (THPH5) [MIM:612336]: A hemostatic disorder characterized by impaired regulation of blood coagulation and a tendency to recurrent venous thrombosis. Based on the plasma levels of total and free PROS1 as well as the serine protease-activated protein C cofactor activity, three types of THPH5 have been described: type I, characterized by reduced total and free PROS1 levels together with reduced anticoagulant activity; type III, in which only free PROS1 antigen and PROS1 activity levels are reduced; and the rare type II which is characterized by normal concentrations of both total and free PROS1 antigen, but low cofactor activity. {ECO:0000269|PubMed:10447256, ECO:0000269|PubMed:10613647, ECO:0000269|PubMed:10706858, ECO:0000269|PubMed:10790208, ECO:0000269|PubMed:11372770, ECO:0000269|PubMed:11776305, ECO:0000269|PubMed:11858485, ECO:0000269|PubMed:11927129, ECO:0000269|PubMed:12351389, ECO:0000269|PubMed:12632031, ECO:0000269|PubMed:15238143, ECO:0000269|PubMed:15712227, ECO:0000269|PubMed:7482398, ECO:0000269|PubMed:7545463, ECO:0000269|PubMed:7579449, ECO:0000269|PubMed:7803790, ECO:0000269|PubMed:8298131, ECO:0000269|PubMed:8639833, ECO:0000269|PubMed:8701404, ECO:0000269|PubMed:8765219, ECO:0000269|PubMed:8781426, ECO:0000269|PubMed:8943854, ECO:0000269|PubMed:8977443, ECO:0000269|PubMed:9031443, ECO:0000269|PubMed:9241758, ECO:0000269|Ref.15}. Note=The disease is caused by mutations affecting the gene represented in this entry.; DISEASE: Thrombophilia due to protein S deficiency, autosomal recessive (THPH6) [MIM:614514]: A very rare and severe hematologic disorder resulting in thrombosis and secondary hemorrhage usually beginning in early infancy. Some affected individuals develop neonatal purpura fulminans, multifocal thrombosis, or intracranial hemorrhage. {ECO:0000269|PubMed:20484936}. Note=The disease is caused by mutations affecting the gene represented in this entry.; </t>
  </si>
  <si>
    <t xml:space="preserve">chr1</t>
  </si>
  <si>
    <t xml:space="preserve">502.64</t>
  </si>
  <si>
    <t xml:space="preserve">54</t>
  </si>
  <si>
    <t xml:space="preserve">30,24</t>
  </si>
  <si>
    <t xml:space="preserve">CM1312861</t>
  </si>
  <si>
    <t xml:space="preserve">RD3:NM_001164688:exon3:c.A584T:p.D195V,RD3:NM_183059:exon3:c.A584T:p.D195V;RD3:uc001him.2:exon3:c.A584T:p.D195V,RD3:uc001hin.2:exon3:c.A584T:p.D195V;ENSG00000198570:ENST00000367002:exon3:c.A584T:p.D195V</t>
  </si>
  <si>
    <t xml:space="preserve">4/10</t>
  </si>
  <si>
    <t xml:space="preserve">Likely benign</t>
  </si>
  <si>
    <t xml:space="preserve">Benign/Likely_benign</t>
  </si>
  <si>
    <t xml:space="preserve">0.0975162265688966</t>
  </si>
  <si>
    <t xml:space="preserve">retinal degeneration 3</t>
  </si>
  <si>
    <t xml:space="preserve">805.64</t>
  </si>
  <si>
    <t xml:space="preserve">83</t>
  </si>
  <si>
    <t xml:space="preserve">50,33</t>
  </si>
  <si>
    <t xml:space="preserve">CM123533</t>
  </si>
  <si>
    <t xml:space="preserve">RYR1:NM_001042723:exon81:c.G11542A:p.E3848K,RYR1:NM_000540:exon82:c.G11557A:p.E3853K;RYR1:uc002oiu.3:exon81:c.G11542A:p.E3848K,RYR1:uc002oit.3:exon82:c.G11557A:p.E3853K;ENSG00000196218:ENST00000596431:exon4:c.G286A:p.E96K,ENSG00000196218:ENST00000601514:exon10:c.G838A:p.E280K,ENSG00000196218:ENST00000355481:exon81:c.G11542A:p.E3848K,ENSG00000196218:ENST00000359596:exon82:c.G11557A:p.E3853K,ENSG00000196218:ENST00000360985:exon82:c.G11557A:p.E3853K</t>
  </si>
  <si>
    <t xml:space="preserve">9/10</t>
  </si>
  <si>
    <t xml:space="preserve">3/7</t>
  </si>
  <si>
    <t xml:space="preserve">Uncertain_significance</t>
  </si>
  <si>
    <t xml:space="preserve">1.60965844168568e-07</t>
  </si>
  <si>
    <t xml:space="preserve">ryanodine receptor 1</t>
  </si>
  <si>
    <t xml:space="preserve">FUNCTION: Calcium channel that mediates the release of Ca(2+) from the sarcoplasmic reticulum into the cytoplasm and thereby plays a key role in triggering muscle contraction following depolarization of T-tubules. Repeated very high-level exercise increases the open probability of the channel and leads to Ca(2+) leaking into the cytoplasm. Can also mediate the release of Ca(2+) from intracellular stores in neurons, and may thereby promote prolonged Ca(2+) signaling in the brain. Required for normal embryonic development of muscle fibers and skeletal muscle. Required for normal heart morphogenesis, skin development and ossification during embryogenesis (By similarity). {ECO:0000250, ECO:0000269|PubMed:18268335}.; </t>
  </si>
  <si>
    <t xml:space="preserve">DISEASE: Malignant hyperthermia 1 (MHS1) [MIM:145600]: Autosomal dominant pharmacogenetic disorder of skeletal muscle and is one of the main causes of death due to anesthesia. In susceptible people, an MH episode can be triggered by all commonly used inhalational anesthetics such as halothane and by depolarizing muscle relaxants such as succinylcholine. The clinical features of the myopathy are hyperthermia, accelerated muscle metabolism, contractures, metabolic acidosis, tachycardia and death, if not treated with the postsynaptic muscle relaxant, dantrolene. Susceptibility to MH can be determined with the 'in vitro' contracture test (IVCT): observing the magnitude of contractures induced in strips of muscle tissue by caffeine alone and halothane alone. Patients with normal response are MH normal (MHN), those with abnormal response to caffeine alone or halothane alone are MH equivocal (MHE(C) and MHE(H) respectively). {ECO:0000269|PubMed:10051009, ECO:0000269|PubMed:10484775, ECO:0000269|PubMed:10612851, ECO:0000269|PubMed:10823104, ECO:0000269|PubMed:10888602, ECO:0000269|PubMed:11241852, ECO:0000269|PubMed:11389482, ECO:0000269|PubMed:11525881, ECO:0000269|PubMed:11575529, ECO:0000269|PubMed:11928716, ECO:0000269|PubMed:12059893, ECO:0000269|PubMed:12066726, ECO:0000269|PubMed:12123492, ECO:0000269|PubMed:12208234, ECO:0000269|PubMed:12411788, ECO:0000269|PubMed:12709367, ECO:0000269|PubMed:12883402, ECO:0000269|PubMed:1354642, ECO:0000269|PubMed:14732627, ECO:0000269|PubMed:14985404, ECO:0000269|PubMed:15221887, ECO:0000269|PubMed:15448513, ECO:0000269|PubMed:16163667, ECO:0000269|PubMed:1774074, ECO:0000269|PubMed:19191329, ECO:0000269|PubMed:20142353, ECO:0000269|PubMed:20681998, ECO:0000269|PubMed:23558838, ECO:0000269|PubMed:24013571, ECO:0000269|PubMed:7751854, ECO:0000269|PubMed:7849712, ECO:0000269|PubMed:7881417, ECO:0000269|PubMed:8012359, ECO:0000269|PubMed:9066328, ECO:0000269|PubMed:9138151, ECO:0000269|PubMed:9389851, ECO:0000269|PubMed:9450902, ECO:0000269|PubMed:9497245}. Note=The disease is caused by mutations affecting the gene represented in this entry.; DISEASE: Central core disease of muscle (CCD) [MIM:117000]: Autosomal dominant congenital myopathy, but a severe autosomal recessive form also exists. Both clinical and histological variability is observed. Affected individuals typically display hypotonia and proximal muscle weakness in infancy, leading to the delay of motor milestones. The clinical course of the disorder is usually slow or nonprogressive in adulthood, and the severity of the symptoms may vary from normal to significant muscle weakness. Microscopic examination of CCD-affected skeletal muscle reveals a predominance of type I fibers containing amorphous-looking areas (cores) that do not stain with oxidative and phosphorylase histochemical techniques. {ECO:0000269|PubMed:10051009, ECO:0000269|PubMed:10097181, ECO:0000269|PubMed:11113224, ECO:0000269|PubMed:11709545, ECO:0000269|PubMed:11741831, ECO:0000269|PubMed:12112081, ECO:0000269|PubMed:12136074, ECO:0000269|PubMed:12565913, ECO:0000269|PubMed:12566385, ECO:0000269|PubMed:12937085, ECO:0000269|PubMed:14670767, ECO:0000269|PubMed:14985404, ECO:0000269|PubMed:17204054, ECO:0000269|PubMed:17226826, ECO:0000269|PubMed:18253926, ECO:0000269|PubMed:18312400, ECO:0000269|PubMed:20142353, ECO:0000269|PubMed:21674524, ECO:0000269|PubMed:23558838, ECO:0000269|PubMed:24561095, ECO:0000269|PubMed:7829078, ECO:0000269|PubMed:8220422, ECO:0000269|PubMed:8220423, ECO:0000269|PubMed:9497245}. Note=The disease is caused by mutations affecting the gene represented in this entry.; DISEASE: Multiminicore disease with external ophthalmoplegia (MMDO) [MIM:255320]: Clinically heterogeneous neuromuscular disorder. General features include neonatal hypotonia, delayed motor development, and generalized muscle weakness and amyotrophy, which may progress slowly or remain stable. Muscle biopsy shows multiple, poorly circumscribed, short areas of sarcomere disorganization and mitochondria depletion (areas termed minicores) in most muscle fibers. Typically, no dystrophic signs, such as muscle fiber necrosis or regeneration or significant endomysial fibrosis, are present in multiminicore disease. {ECO:0000269|PubMed:12719381, ECO:0000269|PubMed:16380615}. Note=The disease is caused by mutations affecting the gene represented in this entry.; DISEASE: Myopathy, congenital, with fiber-type disproportion (CFTD) [MIM:255310]: A genetically heterogeneous disorder in which there is relative hypotrophy of type 1 muscle fibers compared to type 2 fibers on skeletal muscle biopsy. However, these findings are not specific and can be found in many different myopathic and neuropathic conditions. {ECO:0000269|PubMed:20583297}. Note=The disease is caused by mutations affecting the gene represented in this entry.; DISEASE: Note=Defects in RYR1 may be a cause of Samaritan myopathy, a congenital myopathy with benign course. Patients display severe hypotonia and respiratory distress at birth. Unlike other congenital myopathies, the health status constantly improves and patients are minimally affected at adulthood.; </t>
  </si>
  <si>
    <t xml:space="preserve">chr5</t>
  </si>
  <si>
    <t xml:space="preserve">4180.06</t>
  </si>
  <si>
    <t xml:space="preserve">128</t>
  </si>
  <si>
    <t xml:space="preserve">1,127</t>
  </si>
  <si>
    <t xml:space="preserve">CM1212106</t>
  </si>
  <si>
    <t xml:space="preserve">PHYKPL:NM_001278346:exon12:c.A1187T:p.E396V,PHYKPL:NM_153373:exon12:c.A1310T:p.E437V;AGXT2L2:uc003mjd.1:exon7:c.A884T:p.E295V,AGXT2L2:uc003miy.3:exon9:c.A485T:p.E162V,AGXT2L2:uc003mjb.3:exon9:c.A485T:p.E162V,AGXT2L2:uc003miz.3:exon12:c.A1310T:p.E437V,AGXT2L2:uc003mjc.3:exon12:c.A1187T:p.E396V;ENSG00000175309:ENST00000308158:exon12:c.A1310T:p.E437V</t>
  </si>
  <si>
    <t xml:space="preserve">7/11</t>
  </si>
  <si>
    <t xml:space="preserve">HOMO</t>
  </si>
  <si>
    <t xml:space="preserve">1;1</t>
  </si>
  <si>
    <t xml:space="preserve">1.72748794347931e-10</t>
  </si>
  <si>
    <t xml:space="preserve">5-phosphohydroxy-L-lysine phospho-lyase</t>
  </si>
  <si>
    <t xml:space="preserve">FUNCTION: Catalyzes the pyridoxal-phosphate-dependent breakdown of 5-phosphohydroxy-L-lysine, converting it to ammonia, inorganic phosphate and 2-aminoadipate semialdehyde. {ECO:0000269|PubMed:22241472}.; </t>
  </si>
  <si>
    <t xml:space="preserve">DISEASE: Phosphohydroxylysinuria (PHLU) [MIM:615011]: A condition characterized by elevated phosphohydroxylysine in the urine. There is no clinical phenotype associated with this finding other than the urinary metabolites. {ECO:0000269|PubMed:23242558}. Note=The disease is caused by mutations affecting the gene represented in this entry.; </t>
  </si>
  <si>
    <t xml:space="preserve">1168.64</t>
  </si>
  <si>
    <t xml:space="preserve">72</t>
  </si>
  <si>
    <t xml:space="preserve">26,46</t>
  </si>
  <si>
    <t xml:space="preserve">CM086835</t>
  </si>
  <si>
    <t xml:space="preserve">HSPB6:NM_144617:exon1:c.C59T:p.P20L;HSPB6:uc002obn.2:exon1:c.C59T:p.P20L;ENSG00000004776:ENST00000004982:exon1:c.C59T:p.P20L,ENSG00000004776:ENST00000587965:exon1:c.C59T:p.P20L,ENSG00000004776:ENST00000592984:exon2:c.C59T:p.P20L</t>
  </si>
  <si>
    <t xml:space="preserve">6/11</t>
  </si>
  <si>
    <t xml:space="preserve">0.391248531059943</t>
  </si>
  <si>
    <t xml:space="preserve">heat shock protein family B (small) member 6</t>
  </si>
  <si>
    <t xml:space="preserve">1693.64</t>
  </si>
  <si>
    <t xml:space="preserve">135</t>
  </si>
  <si>
    <t xml:space="preserve">66,69</t>
  </si>
  <si>
    <t xml:space="preserve">CM083593</t>
  </si>
  <si>
    <t xml:space="preserve">ATM:NM_000051:exon37:c.A5558T:p.D1853V,ATM:NM_001351834:exon38:c.A5558T:p.D1853V;ATM:uc001pkg.1:exon5:c.A629T:p.D210V,ATM:uc001pke.2:exon11:c.A1514T:p.D505V,ATM:uc001pkb.1:exon37:c.A5558T:p.D1853V,ATM:uc009yxr.1:exon38:c.A5558T:p.D1853V;ENSG00000149311:ENST00000278616:exon37:c.A5558T:p.D1853V,ENSG00000149311:ENST00000452508:exon38:c.A5558T:p.D1853V</t>
  </si>
  <si>
    <t xml:space="preserve">5/7</t>
  </si>
  <si>
    <t xml:space="preserve">2.71064232749178e-30</t>
  </si>
  <si>
    <t xml:space="preserve">ATM serine/threonine kinase</t>
  </si>
  <si>
    <t xml:space="preserve">FUNCTION: Serine/threonine protein kinase which activates checkpoint signaling upon double strand breaks (DSBs), apoptosis and genotoxic stresses such as ionizing ultraviolet A light (UVA), thereby acting as a DNA damage sensor. Recognizes the substrate consensus sequence [ST]-Q. Phosphorylates 'Ser-139' of histone variant H2AX/H2AFX at double strand breaks (DSBs), thereby regulating DNA damage response mechanism. Also plays a role in pre-B cell allelic exclusion, a process leading to expression of a single immunoglobulin heavy chain allele to enforce clonality and monospecific recognition by the B-cell antigen receptor (BCR) expressed on individual B-lymphocytes. After the introduction of DNA breaks by the RAG complex on one immunoglobulin allele, acts by mediating a repositioning of the second allele to pericentromeric heterochromatin, preventing accessibility to the RAG complex and recombination of the second allele. Also involved in signal transduction and cell cycle control. May function as a tumor suppressor. Necessary for activation of ABL1 and SAPK. Phosphorylates DYRK2, CHEK2, p53/TP53, FANCD2, NFKBIA, BRCA1, CTIP, nibrin (NBN), TERF1, RAD9 and DCLRE1C. May play a role in vesicle and/or protein transport. Could play a role in T-cell development, gonad and neurological function. Plays a role in replication-dependent histone mRNA degradation. Binds DNA ends. Phosphorylation of DYRK2 in nucleus in response to genotoxic stress prevents its MDM2-mediated ubiquitination and subsequent proteasome degradation. Phosphorylates ATF2 which stimulates its function in DNA damage response. {ECO:0000269|PubMed:10973490, ECO:0000269|PubMed:12556884, ECO:0000269|PubMed:14871926, ECO:0000269|PubMed:15916964, ECO:0000269|PubMed:16086026, ECO:0000269|PubMed:16858402, ECO:0000269|PubMed:17923702, ECO:0000269|PubMed:19965871}.; </t>
  </si>
  <si>
    <t xml:space="preserve">DISEASE: Ataxia telangiectasia (AT) [MIM:208900]: A rare recessive disorder characterized by progressive cerebellar ataxia, dilation of the blood vessels in the conjunctiva and eyeballs, immunodeficiency, growth retardation and sexual immaturity. Patients have a strong predisposition to cancer; about 30% of patients develop tumors, particularly lymphomas and leukemias. Cells from affected individuals are highly sensitive to damage by ionizing radiation and resistant to inhibition of DNA synthesis following irradiation. {ECO:0000269|PubMed:10234507, ECO:0000269|PubMed:10425038, ECO:0000269|PubMed:10817650, ECO:0000269|PubMed:10873394, ECO:0000269|PubMed:7792600, ECO:0000269|PubMed:8698354, ECO:0000269|PubMed:8755918, ECO:0000269|PubMed:8789452, ECO:0000269|PubMed:8797579, ECO:0000269|PubMed:8808599, ECO:0000269|PubMed:8845835, ECO:0000269|PubMed:9043869, ECO:0000269|PubMed:9150358, ECO:0000269|PubMed:9443866, ECO:0000269|PubMed:9450874, ECO:0000269|PubMed:9463314, ECO:0000269|PubMed:9497252, ECO:0000269|PubMed:9521587, ECO:0000269|PubMed:9711876, ECO:0000269|PubMed:9792409, ECO:0000269|PubMed:9792410, ECO:0000269|PubMed:9872980, ECO:0000269|PubMed:9887333}. Note=The disease is caused by mutations affecting the gene represented in this entry.; DISEASE: Note=Defects in ATM contribute to T-cell acute lymphoblastic leukemia (TALL) and T-prolymphocytic leukemia (TPLL). TPLL is characterized by a high white blood cell count, with a predominance of prolymphocytes, marked splenomegaly, lymphadenopathy, skin lesions and serous effusion. The clinical course is highly aggressive, with poor response to chemotherapy and short survival time. TPLL occurs both in adults as a sporadic disease and in younger AT patients. {ECO:0000269|PubMed:9288106, ECO:0000269|PubMed:9334731, ECO:0000269|PubMed:9463314, ECO:0000269|PubMed:9488043, ECO:0000269|PubMed:9573030}.; DISEASE: Note=Defects in ATM contribute to B-cell non-Hodgkin lymphomas (BNHL), including mantle cell lymphoma (MCL). {ECO:0000269|PubMed:10397742, ECO:0000269|PubMed:10706620, ECO:0000269|PubMed:9288106}.; DISEASE: Note=Defects in ATM contribute to B-cell chronic lymphocytic leukemia (BCLL). BCLL is the commonest form of leukemia in the elderly. It is characterized by the accumulation of mature CD5+ B-lymphocytes, lymphadenopathy, immunodeficiency and bone marrow failure. {ECO:0000269|PubMed:10023947, ECO:0000269|PubMed:10397742, ECO:0000269|PubMed:9892178}.; </t>
  </si>
  <si>
    <t xml:space="preserve">chr8</t>
  </si>
  <si>
    <t xml:space="preserve">866.64</t>
  </si>
  <si>
    <t xml:space="preserve">63</t>
  </si>
  <si>
    <t xml:space="preserve">29,34</t>
  </si>
  <si>
    <t xml:space="preserve">CM082688</t>
  </si>
  <si>
    <t xml:space="preserve">FOXH1:NM_003923:exon3:c.G338C:p.S113T;FOXH1:uc003zdc.3:exon3:c.G338C:p.S113T;ENSG00000160973:ENST00000377317:exon3:c.G338C:p.S113T</t>
  </si>
  <si>
    <t xml:space="preserve">0.0132911961348389</t>
  </si>
  <si>
    <t xml:space="preserve">forkhead box H1</t>
  </si>
  <si>
    <t xml:space="preserve">FUNCTION: Transcriptional activator. Recognizes and binds to the DNA sequence 5'-TGT[GT][GT]ATT-3'. Required for induction of the goosecoid (GSC) promoter by TGF-beta or activin signaling. Forms a transcriptionally active complex containing FOXH1/SMAD2/SMAD4 on a site on the GSC promoter called TARE (TGF-beta/activin response element). {ECO:0000269|PubMed:9702198}.; </t>
  </si>
  <si>
    <t xml:space="preserve">chrX</t>
  </si>
  <si>
    <t xml:space="preserve">2397.64</t>
  </si>
  <si>
    <t xml:space="preserve">184</t>
  </si>
  <si>
    <t xml:space="preserve">89,95</t>
  </si>
  <si>
    <t xml:space="preserve">CM072994</t>
  </si>
  <si>
    <t xml:space="preserve">DMD:NM_004011:exon21:c.G3160A:p.A1054T,DMD:NM_004012:exon21:c.G3151A:p.A1051T,DMD:NM_000109:exon49:c.G7159A:p.A2387T,DMD:NM_004006:exon49:c.G7183A:p.A2395T,DMD:NM_004009:exon49:c.G7171A:p.A2391T,DMD:NM_004010:exon49:c.G6814A:p.A2272T;DMD:uc004dcw.2:exon21:c.G3151A:p.A1051T,DMD:uc004dcx.2:exon21:c.G3160A:p.A1054T,DMD:uc004dcy.1:exon49:c.G7171A:p.A2391T,DMD:uc004dcz.2:exon49:c.G6814A:p.A2272T,DMD:uc004dda.1:exon49:c.G7183A:p.A2395T,DMD:uc004ddb.1:exon49:c.G7159A:p.A2387T;ENSG00000198947:ENST00000471779:exon1:c.G49A:p.A17T,ENSG00000198947:ENST00000358062:exon2:c.G271A:p.A91T,ENSG00000198947:ENST00000357033:exon49:c.G7183A:p.A2395T,ENSG00000198947:ENST00000378677:exon49:c.G7171A:p.A2391T</t>
  </si>
  <si>
    <t xml:space="preserve">1/6</t>
  </si>
  <si>
    <t xml:space="preserve">0.999999999803525</t>
  </si>
  <si>
    <t xml:space="preserve">dystrophin</t>
  </si>
  <si>
    <t xml:space="preserve">FUNCTION: Anchors the extracellular matrix to the cytoskeleton via F-actin. Ligand for dystroglycan. Component of the dystrophin- associated glycoprotein complex which accumulates at the neuromuscular junction (NMJ) and at a variety of synapses in the peripheral and central nervous systems and has a structural function in stabilizing the sarcolemma. Also implicated in signaling events and synaptic transmission. {ECO:0000250|UniProtKB:P11531, ECO:0000269|PubMed:16710609}.; </t>
  </si>
  <si>
    <t xml:space="preserve">DISEASE: Duchenne muscular dystrophy (DMD) [MIM:310200]: Most common form of muscular dystrophy; a sex-linked recessive disorder. It typically presents in boys aged 3 to 7 year as proximal muscle weakness causing waddling gait, toe-walking, lordosis, frequent falls, and difficulty in standing up and climbing up stairs. The pelvic girdle is affected first, then the shoulder girdle. Progression is steady and most patients are confined to a wheelchair by age of 10 or 12. Flexion contractures and scoliosis ultimately occur. About 50% of patients have a lower IQ than their genetic expectations would suggest. There is no treatment. {ECO:0000269|PubMed:12632325, ECO:0000269|PubMed:7981690, ECO:0000269|PubMed:8401582, ECO:0000269|PubMed:8817332, ECO:0000269|PubMed:9851445}. Note=The disease is caused by mutations affecting the gene represented in this entry.; DISEASE: Becker muscular dystrophy (BMD) [MIM:300376]: A neuromuscular disorder characterized by dystrophin deficiency. It appears between the age of 5 and 15 years with a proximal motor deficiency of variable progression. Heart involvement can be the initial sign. Becker muscular dystrophy has a more benign course than Duchenne muscular dystrophy. {ECO:0000269|PubMed:10573008}. Note=The disease is caused by mutations affecting the gene represented in this entry.; DISEASE: Cardiomyopathy, dilated, X-linked 3B (CMD3B) [MIM:302045]: A disorder characterized by ventricular dilation and impaired systolic function, resulting in congestive heart failure and arrhythmia. Patients are at risk of premature death. {ECO:0000269|PubMed:12354438, ECO:0000269|PubMed:12359139, ECO:0000269|PubMed:25340340, ECO:0000269|PubMed:9170407}. Note=The disease is caused by mutations affecting the gene represented in this entry.; </t>
  </si>
  <si>
    <t xml:space="preserve">852.64</t>
  </si>
  <si>
    <t xml:space="preserve">57</t>
  </si>
  <si>
    <t xml:space="preserve">24,33</t>
  </si>
  <si>
    <t xml:space="preserve">CM062824</t>
  </si>
  <si>
    <t xml:space="preserve">LMNB2:NM_032737:exon5:c.G704A:p.R235Q;LMNB2:uc002lvy.4:exon5:c.G704A:p.R235Q;ENSG00000176619:ENST00000325327:exon5:c.G704A:p.R235Q,ENSG00000176619:ENST00000582871:exon5:c.G644A:p.R215Q</t>
  </si>
  <si>
    <t xml:space="preserve">4/8</t>
  </si>
  <si>
    <t xml:space="preserve">0.995599596829826</t>
  </si>
  <si>
    <t xml:space="preserve">lamin B2</t>
  </si>
  <si>
    <t xml:space="preserve">FUNCTION: Lamins are components of the nuclear lamina, a fibrous layer on the nucleoplasmic side of the inner nuclear membrane, which is thought to provide a framework for the nuclear envelope and may also interact with chromatin.; </t>
  </si>
  <si>
    <t xml:space="preserve">DISEASE: Partial acquired lipodystrophy (APLD) [MIM:608709]: A rare childhood disease characterized by loss of subcutaneous fat from the face and trunk. Fat deposition on the pelvic girdle and lower limbs is normal or excessive. Most frequently, onset between 5 and 15 years of age. Most affected subjects are females and some show no other abnormality, but many develop glomerulonephritis, diabetes mellitus, hyperlipidemia, and complement deficiency. Mental retardation in some cases. APLD is a sporadic disorder of unknown etiology. {ECO:0000269|PubMed:16826530, ECO:0000269|PubMed:22768673}. Note=The disease is caused by mutations affecting the gene represented in this entry.; DISEASE: Epilepsy, progressive myoclonic 9 (EPM9) [MIM:616540]: An autosomal recessive form of progressive myoclonic epilepsy, a rare disease initially responsive to antiepileptic drugs which over time becomes refractory and can be associated with cognitive decline. EPM9 features include myoclonus, tonic-clonic seizures, ataxia, and psychomotor development. {ECO:0000269|PubMed:25954030}. Note=The disease may be caused by mutations affecting the gene represented in this entry.; </t>
  </si>
  <si>
    <t xml:space="preserve">chr6</t>
  </si>
  <si>
    <t xml:space="preserve">1561.64</t>
  </si>
  <si>
    <t xml:space="preserve">137</t>
  </si>
  <si>
    <t xml:space="preserve">70,67</t>
  </si>
  <si>
    <t xml:space="preserve">CM056983</t>
  </si>
  <si>
    <t xml:space="preserve">PRKN:NM_013988:exon8:c.C757T:p.R253C,PRKN:NM_013987:exon10:c.C1120T:p.R374C,PRKN:NM_004562:exon11:c.C1204T:p.R402C;PARK2:uc011egf.2:exon6:c.C226T:p.R76C,PARK2:uc003qtz.4:exon8:c.C757T:p.R253C,PARK2:uc010kkd.3:exon9:c.C631T:p.R211C,PARK2:uc021zhs.1:exon9:c.C970T:p.R324C,PARK2:uc003qty.4:exon10:c.C1120T:p.R374C,PARK2:uc021zhw.1:exon10:c.C631T:p.R211C,PARK2:uc021zhy.1:exon10:c.C1054T:p.R352C,PARK2:uc003qtx.4:exon11:c.C1204T:p.R402C,PARK2:uc021zhu.1:exon12:c.C1345T:p.R449C,PARK2:uc021zhv.1:exon12:c.C967T:p.R323C,PARK2:uc031sqz.1:exon13:c.C1399T:p.R467C;ENSG00000185345:ENST00000366896:exon8:c.C757T:p.R253C,ENSG00000185345:ENST00000338468:exon10:c.C631T:p.R211C,ENSG00000185345:ENST00000366894:exon10:c.C631T:p.R211C,ENSG00000185345:ENST00000366897:exon10:c.C1120T:p.R374C,ENSG00000185345:ENST00000366898:exon11:c.C1204T:p.R402C</t>
  </si>
  <si>
    <t xml:space="preserve">0.0218088318211922</t>
  </si>
  <si>
    <t xml:space="preserve">parkin RBR E3 ubiquitin protein ligase</t>
  </si>
  <si>
    <t xml:space="preserve">FUNCTION: Functions within a multiprotein E3 ubiquitin ligase complex, catalyzing the covalent attachment of ubiquitin moieties onto substrate proteins, such as BCL2, SYT11, CCNE1, GPR37, RHOT1/MIRO1, MFN1, MFN2, STUB1, SNCAIP, SEPT5, TOMM20, USP30, ZNF746 and AIMP2 (PubMed:10973942, PubMed:10888878, PubMed:11431533, PubMed:12150907, PubMed:12628165, PubMed:16135753, PubMed:21376232, PubMed:23754282, PubMed:23620051, PubMed:24660806, PubMed:24751536). Mediates monoubiquitination as well as 'Lys-6', 'Lys-11', 'Lys-48'-linked and 'Lys-63'-linked polyubiquitination of substrates depending on the context (PubMed:19229105, PubMed:20889974, PubMed:25621951). Participates in the removal and/or detoxification of abnormally folded or damaged protein by mediating 'Lys-63'-linked polyubiquitination of misfolded proteins such as PARK7: 'Lys-63'- linked polyubiquitinated misfolded proteins are then recognized by HDAC6, leading to their recruitment to aggresomes, followed by degradation (PubMed:17846173, PubMed:19229105). Mediates 'Lys-63'- linked polyubiquitination of a 22 kDa O-linked glycosylated isoform of SNCAIP, possibly playing a role in Lewy-body formation (PubMed:11590439, PubMed:11431533, PubMed:19229105, PubMed:11590439, PubMed:15728840). Mediates monoubiquitination of BCL2, thereby acting as a positive regulator of autophagy (PubMed:20889974). Promotes the autophagic degradation of dysfunctional depolarized mitochondria (mitophagy) by promoting the ubiquitination of mitochondrial proteins such as TOMM20, RHOT1/MIRO1 and USP30 (PubMed:19029340, PubMed:19966284, PubMed:23620051, PubMed:24896179, PubMed:25527291). Preferentially assembles 'Lys-6'-, 'Lys-11'- and 'Lys-63'-linked polyubiquitin chains following mitochondrial damage, leading to mitophagy (PubMed:25621951). Mediates 'Lys-48'-linked polyubiquitination of ZNF746, followed by degradation of ZNF746 by the proteasome; possibly playing a role in the regulation of neuron death (PubMed:21376232). Limits the production of reactive oxygen species (ROS). Regulates cyclin-E during neuronal apoptosis. In collaboration with CHPF isoform 2, may enhance cell viability and protect cells from oxidative stress (PubMed:22082830). Independently of its ubiquitin ligase activity, protects from apoptosis by the transcriptional repression of p53/TP53 (PubMed:19801972). May protect neurons against alpha synuclein toxicity, proteasomal dysfunction, GPR37 accumulation, and kainate-induced excitotoxicity (PubMed:11439185). May play a role in controlling neurotransmitter trafficking at the presynaptic terminal and in calcium-dependent exocytosis. May represent a tumor suppressor gene. {ECO:0000269|PubMed:10888878, ECO:0000269|PubMed:10973942, ECO:0000269|PubMed:11431533, ECO:0000269|PubMed:11590439, ECO:0000269|PubMed:12628165, ECO:0000269|PubMed:12719539, ECO:0000269|PubMed:15105460, ECO:0000269|PubMed:15728840, ECO:0000269|PubMed:16135753, ECO:0000269|PubMed:17846173, ECO:0000269|PubMed:18541373, ECO:0000269|PubMed:19029340, ECO:0000269|PubMed:19229105, ECO:0000269|PubMed:19801972, ECO:0000269|PubMed:19966284, ECO:0000269|PubMed:20889974, ECO:0000269|PubMed:21376232, ECO:0000269|PubMed:21532592, ECO:0000269|PubMed:22082830, ECO:0000269|PubMed:23620051, ECO:0000269|PubMed:23754282, ECO:0000269|PubMed:23933751, ECO:0000269|PubMed:24660806, ECO:0000269|PubMed:24751536, ECO:0000269|PubMed:24784582, ECO:0000269|PubMed:24896179, ECO:0000269|PubMed:25527291, ECO:0000269|PubMed:25621951}.; </t>
  </si>
  <si>
    <t xml:space="preserve">DISEASE: Parkinson disease (PARK) [MIM:168600]: A complex neurodegenerative disorder characterized by bradykinesia, resting tremor, muscular rigidity and postural instability. Additional features are characteristic postural abnormalities, dysautonomia, dystonic cramps, and dementia. The pathology of Parkinson disease involves the loss of dopaminergic neurons in the substantia nigra and the presence of Lewy bodies (intraneuronal accumulations of aggregated proteins), in surviving neurons in various areas of the brain. The disease is progressive and usually manifests after the age of 50 years, although early-onset cases (before 50 years) are known. The majority of the cases are sporadic suggesting a multifactorial etiology based on environmental and genetic factors. However, some patients present with a positive family history for the disease. Familial forms of the disease usually begin at earlier ages and are associated with atypical clinical features. {ECO:0000269|PubMed:12629236, ECO:0000269|PubMed:12730996}. Note=Disease susceptibility may be associated with variations affecting the gene represented in this entry. Heterozygous mutations act as susceptibility alleles for late-onset Parkinson disease (PubMed:12730996 and PubMed:12629236).; DISEASE: Parkinson disease 2 (PARK2) [MIM:600116]: A neurodegenerative disorder characterized by bradykinesia, rigidity, postural instability, tremor, and onset usually before 40. It differs from classic Parkinson disease by early DOPA- induced dyskinesia, diurnal fluctuation of the symptoms, sleep benefit, dystonia and hyper-reflexia. Dementia is absent. Pathologically, patients show loss of dopaminergic neurons in the substantia nigra, similar to that seen in Parkinson disease; however, Lewy bodies (intraneuronal accumulations of aggregated proteins) are absent. {ECO:0000269|PubMed:10072423, ECO:0000269|PubMed:10824074, ECO:0000269|PubMed:10939576, ECO:0000269|PubMed:11163284, ECO:0000269|PubMed:11179010, ECO:0000269|PubMed:11487568, ECO:0000269|PubMed:11971093, ECO:0000269|PubMed:12056932, ECO:0000269|PubMed:12112109, ECO:0000269|PubMed:12114481, ECO:0000269|PubMed:12116199, ECO:0000269|PubMed:12362318, ECO:0000269|PubMed:12397156, ECO:0000269|PubMed:12629236, ECO:0000269|PubMed:12730996, ECO:0000269|PubMed:15584030, ECO:0000269|PubMed:22956510, ECO:0000269|PubMed:9560156, ECO:0000269|PubMed:9731209}. Note=The disease is caused by mutations affecting the gene represented in this entry.; DISEASE: Note=Defects in PARK2 may be involved in the development and/or progression of ovarian cancer.; </t>
  </si>
  <si>
    <t xml:space="preserve">915.64</t>
  </si>
  <si>
    <t xml:space="preserve">75</t>
  </si>
  <si>
    <t xml:space="preserve">41,34</t>
  </si>
  <si>
    <t xml:space="preserve">CM051142</t>
  </si>
  <si>
    <t xml:space="preserve">PKHD1:NM_138694:exon30:c.A3407G:p.Y1136C,PKHD1:NM_170724:exon30:c.A3407G:p.Y1136C;PKHD1:uc003pah.1:exon30:c.A3407G:p.Y1136C,PKHD1:uc003pai.3:exon30:c.A3407G:p.Y1136C;ENSG00000170927:ENST00000340994:exon30:c.A3407G:p.Y1136C,ENSG00000170927:ENST00000371117:exon30:c.A3407G:p.Y1136C</t>
  </si>
  <si>
    <t xml:space="preserve">3/10</t>
  </si>
  <si>
    <t xml:space="preserve">2</t>
  </si>
  <si>
    <t xml:space="preserve">2.88608936958615e-23</t>
  </si>
  <si>
    <t xml:space="preserve">polycystic kidney and hepatic disease 1 (autosomal recessive)</t>
  </si>
  <si>
    <t xml:space="preserve">FUNCTION: May be required for correct bipolar cell division through the regulation of centrosome duplication and mitotic spindle assembly. May be a receptor protein that acts in collecting-duct and biliary differentiation. {ECO:0000269|PubMed:20554582}.; </t>
  </si>
  <si>
    <t xml:space="preserve">1450.64</t>
  </si>
  <si>
    <t xml:space="preserve">167</t>
  </si>
  <si>
    <t xml:space="preserve">107,60</t>
  </si>
  <si>
    <t xml:space="preserve">CM045276;CM920089</t>
  </si>
  <si>
    <t xml:space="preserve">AR:NM_000044:exon6:c.C2395G:p.Q799E,AR:NM_001011645:exon7:c.C799G:p.Q267E;AR:uc004dwu.2:exon6:c.C2395G:p.Q799E,AR:uc004dwv.2:exon6:c.C799G:p.Q267E;ENSG00000169083:ENST00000374690:exon6:c.C2395G:p.Q799E,ENSG00000169083:ENST00000396043:exon6:c.C799G:p.Q267E</t>
  </si>
  <si>
    <t xml:space="preserve">9/11</t>
  </si>
  <si>
    <t xml:space="preserve">3/6</t>
  </si>
  <si>
    <t xml:space="preserve">Likely pathogenic</t>
  </si>
  <si>
    <t xml:space="preserve">Likely_pathogenic</t>
  </si>
  <si>
    <t xml:space="preserve">0.99490980991855</t>
  </si>
  <si>
    <t xml:space="preserve">androgen receptor</t>
  </si>
  <si>
    <t xml:space="preserve">FUNCTION: Steroid hormone receptors are ligand-activated transcription factors that regulate eukaryotic gene expression and affect cellular proliferation and differentiation in target tissues. Transcription factor activity is modulated by bound coactivator and corepressor proteins. Transcription activation is down-regulated by NR0B2. Activated, but not phosphorylated, by HIPK3 and ZIPK/DAPK3. {ECO:0000269|PubMed:14664718, ECO:0000269|PubMed:15563469, ECO:0000269|PubMed:17591767, ECO:0000269|PubMed:17911242, ECO:0000269|PubMed:18084323, ECO:0000269|PubMed:19345326, ECO:0000269|PubMed:20980437}.; </t>
  </si>
  <si>
    <t xml:space="preserve">DISEASE: Androgen insensitivity syndrome (AIS) [MIM:300068]: An X- linked recessive form of pseudohermaphroditism due end-organ resistance to androgen. Affected males have female external genitalia, female breast development, blind vagina, absent uterus and female adnexa, and abdominal or inguinal testes, despite a normal 46,XY karyotype. {ECO:0000269|PubMed:10022458, ECO:0000269|PubMed:10221692, ECO:0000269|PubMed:10221770, ECO:0000269|PubMed:10404311, ECO:0000269|PubMed:10458483, ECO:0000269|PubMed:10571951, ECO:0000269|PubMed:10590024, ECO:0000269|PubMed:10690872, ECO:0000269|PubMed:11587068, ECO:0000269|PubMed:11744994, ECO:0000269|PubMed:1307250, ECO:0000269|PubMed:1316540, ECO:0000269|PubMed:1426313, ECO:0000269|PubMed:1430233, ECO:0000269|PubMed:1464650, ECO:0000269|PubMed:1480178, ECO:0000269|PubMed:1487249, ECO:0000269|PubMed:1569163, ECO:0000269|PubMed:1609793, ECO:0000269|PubMed:1775137, ECO:0000269|PubMed:1999491, ECO:0000269|PubMed:2082179, ECO:0000269|PubMed:2594783, ECO:0000269|PubMed:7537149, ECO:0000269|PubMed:7581399, ECO:0000269|PubMed:7633398, ECO:0000269|PubMed:7641413, ECO:0000269|PubMed:7671849, ECO:0000269|PubMed:7929841, ECO:0000269|PubMed:7962294, ECO:0000269|PubMed:7970939, ECO:0000269|PubMed:7981687, ECO:0000269|PubMed:7981689, ECO:0000269|PubMed:7993455, ECO:0000269|PubMed:8040309, ECO:0000269|PubMed:8096390, ECO:0000269|PubMed:8103398, ECO:0000269|PubMed:8162033, ECO:0000269|PubMed:8224266, ECO:0000269|PubMed:8281140, ECO:0000269|PubMed:8325950, ECO:0000269|PubMed:8413310, ECO:0000269|PubMed:8446106, ECO:0000269|PubMed:8626869, ECO:0000269|PubMed:8647313, ECO:0000269|PubMed:8683794, ECO:0000269|PubMed:8723113, ECO:0000269|PubMed:8768864, ECO:0000269|PubMed:8809734, ECO:0000269|PubMed:8830623, ECO:0000269|PubMed:8918984, ECO:0000269|PubMed:8990010, ECO:0000269|PubMed:9001799, ECO:0000269|PubMed:9007482, ECO:0000269|PubMed:9039340, ECO:0000269|PubMed:9106550, ECO:0000269|PubMed:9160185, ECO:0000269|PubMed:9252933, ECO:0000269|PubMed:9255042, ECO:0000269|PubMed:9302173, ECO:0000269|PubMed:9328206, ECO:0000269|PubMed:9544375, ECO:0000269|PubMed:9554754, ECO:0000269|PubMed:9610419, ECO:0000269|PubMed:9627582, ECO:0000269|PubMed:9698822, ECO:0000269|PubMed:9788719, ECO:0000269|PubMed:9851768, ECO:0000269|PubMed:9856504, ECO:0000269|Ref.109, ECO:0000269|Ref.175}. Note=The disease is caused by mutations affecting the gene represented in this entry.; DISEASE: Spinal and bulbar muscular atrophy X-linked 1 (SMAX1) [MIM:313200]: An X-linked recessive form of spinal muscular atrophy. Spinal muscular atrophy refers to a group of neuromuscular disorders characterized by degeneration of the anterior horn cells of the spinal cord, leading to symmetrical muscle weakness and atrophy. SMAX1 occurs only in men. Age at onset is usually in the third to fifth decade of life, but earlier involvement has been reported. It is characterized by slowly progressive limb and bulbar muscle weakness with fasciculations, muscle atrophy, and gynecomastia. The disorder is clinically similar to classic forms of autosomal spinal muscular atrophy. {ECO:0000269|PubMed:15851746}. Note=The disease is caused by mutations affecting the gene represented in this entry. Caused by trinucleotide CAG repeat expansion. In SMAX1 patients the number of Gln ranges from 38 to 62. Longer expansions result in earlier onset and more severe clinical manifestations of the disease.; DISEASE: Note=Defects in AR may play a role in metastatic prostate cancer. The mutated receptor stimulates prostate growth and metastases development despite of androgen ablation. This treatment can reduce primary and metastatic lesions probably by inducing apoptosis of tumor cells when they express the wild-type receptor.; DISEASE: Androgen insensitivity, partial (PAIS) [MIM:312300]: A disorder that is characterized by hypospadias, hypogonadism, gynecomastia, genital ambiguity, normal XY karyotype, and a pedigree pattern consistent with X-linked recessive inheritance. Some patients present azoospermia or severe oligospermia without other clinical manifestations. {ECO:0000269|PubMed:10022458, ECO:0000269|PubMed:10221692, ECO:0000269|PubMed:10470409, ECO:0000269|PubMed:10502786, ECO:0000269|PubMed:10543676, ECO:0000269|PubMed:11587068, ECO:0000269|PubMed:1303262, ECO:0000269|PubMed:1307250, ECO:0000269|PubMed:1316540, ECO:0000269|PubMed:1424203, ECO:0000269|PubMed:1430233, ECO:0000269|PubMed:2010552, ECO:0000269|PubMed:7581399, ECO:0000269|PubMed:7649358, ECO:0000269|PubMed:7671849, ECO:0000269|PubMed:7909256, ECO:0000269|PubMed:7910529, ECO:0000269|PubMed:7929841, ECO:0000269|PubMed:7970939, ECO:0000269|PubMed:7981687, ECO:0000269|PubMed:8033918, ECO:0000269|PubMed:8097257, ECO:0000269|PubMed:8126121, ECO:0000269|PubMed:8205256, ECO:0000269|PubMed:8281139, ECO:0000269|PubMed:8325932, ECO:0000269|PubMed:8325950, ECO:0000269|PubMed:8446106, ECO:0000269|PubMed:8550758, ECO:0000269|PubMed:8809734, ECO:0000269|PubMed:8823308, ECO:0000269|PubMed:8824883, ECO:0000269|PubMed:9039340, ECO:0000269|PubMed:9196614, ECO:0000269|PubMed:9302173, ECO:0000269|PubMed:9329414, ECO:0000269|PubMed:9543136, ECO:0000269|PubMed:9607727, ECO:0000269|PubMed:9768671, ECO:0000269|PubMed:9856504, ECO:0000269|Ref.117}. Note=The disease is caused by mutations affecting the gene represented in this entry.; </t>
  </si>
  <si>
    <t xml:space="preserve">2625.64</t>
  </si>
  <si>
    <t xml:space="preserve">186</t>
  </si>
  <si>
    <t xml:space="preserve">85,101</t>
  </si>
  <si>
    <t xml:space="preserve">CM032328</t>
  </si>
  <si>
    <t xml:space="preserve">PKHD1:NM_138694:exon55:c.C8606A:p.T2869K,PKHD1:NM_170724:exon55:c.C8606A:p.T2869K;PKHD1:uc010jzn.1:exon19:c.C2555A:p.T852K,PKHD1:uc003pah.1:exon55:c.C8606A:p.T2869K,PKHD1:uc003pai.3:exon55:c.C8606A:p.T2869K;ENSG00000170927:ENST00000340994:exon55:c.C8606A:p.T2869K,ENSG00000170927:ENST00000371117:exon55:c.C8606A:p.T2869K</t>
  </si>
  <si>
    <t xml:space="preserve">8/10</t>
  </si>
  <si>
    <t xml:space="preserve">1521.64</t>
  </si>
  <si>
    <t xml:space="preserve">136</t>
  </si>
  <si>
    <t xml:space="preserve">76,60</t>
  </si>
  <si>
    <t xml:space="preserve">CD993062</t>
  </si>
  <si>
    <t xml:space="preserve">NCF2:NM_001190789:exon6:c.C593T:p.T198M,NCF2:NM_001190794:exon7:c.C701T:p.T234M,NCF2:NM_000433:exon8:c.C836T:p.T279M,NCF2:NM_001127651:exon9:c.C836T:p.T279M;NCF2:uc010poe.2:exon6:c.C593T:p.T198M,NCF2:uc010pod.2:exon7:c.C701T:p.T234M,NCF2:uc001gqj.4:exon8:c.C836T:p.T279M,NCF2:uc001gqk.4:exon9:c.C836T:p.T279M;ENSG00000116701:ENST00000419402:exon2:c.C53T:p.T18M,ENSG00000116701:ENST00000418089:exon6:c.C593T:p.T198M,ENSG00000116701:ENST00000413720:exon7:c.C701T:p.T234M,ENSG00000116701:ENST00000367535:exon8:c.C836T:p.T279M,ENSG00000116701:ENST00000367536:exon9:c.C836T:p.T279M</t>
  </si>
  <si>
    <t xml:space="preserve">8.50962248758179e-05</t>
  </si>
  <si>
    <t xml:space="preserve">neutrophil cytosolic factor 2</t>
  </si>
  <si>
    <t xml:space="preserve">FUNCTION: NCF2, NCF1, and a membrane bound cytochrome b558 are required for activation of the latent NADPH oxidase (necessary for superoxide production). {ECO:0000269|PubMed:12207919}.; </t>
  </si>
  <si>
    <t xml:space="preserve">DISEASE: Granulomatous disease, chronic, cytochrome-b-positive 2, autosomal recessive (CGD2) [MIM:233710]: A disorder characterized by the inability of neutrophils and phagocytes to kill microbes that they have ingested. Patients suffer from life-threatening bacterial/fungal infections. {ECO:0000269|PubMed:10498624, ECO:0000269|PubMed:10598813, ECO:0000269|PubMed:11112388, ECO:0000269|PubMed:16937026, ECO:0000269|PubMed:18625437, ECO:0000269|PubMed:19624736, ECO:0000269|PubMed:20167518, ECO:0000269|PubMed:23910690, ECO:0000269|PubMed:8286749, ECO:0000269|PubMed:9070911}. Note=The disease is caused by mutations affecting the gene represented in this entry.; </t>
  </si>
  <si>
    <t xml:space="preserve">chr2</t>
  </si>
  <si>
    <t xml:space="preserve">2015.64</t>
  </si>
  <si>
    <t xml:space="preserve">149</t>
  </si>
  <si>
    <t xml:space="preserve">66,83</t>
  </si>
  <si>
    <t xml:space="preserve">nonsynonymous SNV;stopgain</t>
  </si>
  <si>
    <t xml:space="preserve">DIS3L2:NM_001257281:exon8:c.G871A:p.A291T,DIS3L2:NM_152383:exon8:c.G871A:p.A291T;DIS3L2:uc010fxz.3:exon8:c.G871A:p.A291T,DIS3L2:uc031rrt.1:exon8:c.G871A:p.A291T;ENSG00000144535:ENST00000433430:exon8:c.G930A:p.W310X,ENSG00000144535:ENST00000360410:exon9:c.G930A:p.W310X</t>
  </si>
  <si>
    <t xml:space="preserve">3/11</t>
  </si>
  <si>
    <t xml:space="preserve">0.863517182071107</t>
  </si>
  <si>
    <t xml:space="preserve">DIS3 like 3'-5' exoribonuclease 2</t>
  </si>
  <si>
    <t xml:space="preserve">FUNCTION: 3'-5'-exoribonuclease that specifically recognizes RNAs polyuridylated at their 3' end and mediates their degradation. Component of an exosome-independent RNA degradation pathway that mediates degradation of both mRNAs and miRNAs that have been polyuridylated by a terminal uridylyltransferase, such as ZCCHC11/TUT4. Mediates degradation of cytoplasmic mRNAs that have been deadenylated and subsequently uridylated at their 3'. Mediates degradation of uridylated pre-let-7 miRNAs, contributing to the maintenance of embryonic stem (ES) cells. Essential for correct mitosis, and negatively regulates cell proliferation. {ECO:0000255|HAMAP-Rule:MF_03045, ECO:0000269|PubMed:23756462, ECO:0000269|PubMed:24141620}.; </t>
  </si>
  <si>
    <t xml:space="preserve">DISEASE: Perlman syndrome (PRLMNS) [MIM:267000]: An autosomal recessive congenital overgrowth syndrome. Affected children are large at birth, are hypotonic, and show organomegaly, characteristic facial dysmorphisms (inverted V-shaped upper lip, prominent forehead, deep-set eyes, broad and flat nasal bridge, and low-set ears), renal anomalies (nephromegaly and hydronephrosis), frequent neurodevelopmental delay, and high neonatal mortality. Perlman syndrome is associated with a high risk of Wilms tumor. Histologic examination of the kidneys in affected children shows frequent nephroblastomatosis, which is a precursor lesion for Wilms tumor. {ECO:0000269|PubMed:22306653, ECO:0000269|PubMed:23486540, ECO:0000269|PubMed:23576526}. Note=The disease is caused by mutations affecting the gene represented in this entry.; </t>
  </si>
  <si>
    <t xml:space="preserve">chr7</t>
  </si>
  <si>
    <t xml:space="preserve">1408.64</t>
  </si>
  <si>
    <t xml:space="preserve">292</t>
  </si>
  <si>
    <t xml:space="preserve">241,51</t>
  </si>
  <si>
    <t xml:space="preserve">KMT2C:NM_170606:exon18:c.C2961G:p.Y987X;KMT2C:uc003wkz.3:exon4:c.C144G:p.Y48X,KMT2C:uc003wla.3:exon18:c.C2961G:p.Y987X;ENSG00000055609:ENST00000262189:exon18:c.C2961G:p.Y987X,ENSG00000055609:ENST00000355193:exon18:c.C2961G:p.Y987X</t>
  </si>
  <si>
    <t xml:space="preserve">0.999999999999997</t>
  </si>
  <si>
    <t xml:space="preserve">lysine methyltransferase 2C</t>
  </si>
  <si>
    <t xml:space="preserve">FUNCTION: Histone methyltransferase. Methylates 'Lys-4' of histone H3. H3 'Lys-4' methylation represents a specific tag for epigenetic transcriptional activation. Central component of the MLL2/3 complex, a coactivator complex of nuclear receptors, involved in transcriptional coactivation. KMT2C/MLL3 may be a catalytic subunit of this complex. May be involved in leukemogenesis and developmental disorder. {ECO:0000269|PubMed:17500065}.; </t>
  </si>
  <si>
    <t xml:space="preserve">NGS_HighStringency</t>
  </si>
  <si>
    <t xml:space="preserve">chr18</t>
  </si>
  <si>
    <t xml:space="preserve">1423.64</t>
  </si>
  <si>
    <t xml:space="preserve">109</t>
  </si>
  <si>
    <t xml:space="preserve">56,53</t>
  </si>
  <si>
    <t xml:space="preserve">UTR3;ncRNA_intronic</t>
  </si>
  <si>
    <t xml:space="preserve">uc002ldz.3:c.*1614T&gt;C;uc002lea.2:c.*1614T&gt;C;uc002leb.2:c.*1614T&gt;C</t>
  </si>
  <si>
    <t xml:space="preserve">4;4</t>
  </si>
  <si>
    <t xml:space="preserve">5.4231747689238e-10</t>
  </si>
  <si>
    <t xml:space="preserve">myosin VB;small nucleolar RNA host gene 22</t>
  </si>
  <si>
    <t xml:space="preserve">FUNCTION: May be involved in vesicular trafficking via its association with the CART complex. The CART complex is necessary for efficient transferrin receptor recycling but not for EGFR degradation. Required in a complex with RAB11A and RAB11FIP2 for the transport of NPC1L1 to the plasma membrane. Together with RAB11A participates in CFTR trafficking to the plasma membrane and TF (transferrin) recycling in nonpolarized cells. Together with RAB11A and RAB8A participates in epithelial cell polarization. Together with RAB25 regulates transcytosis. {ECO:0000269|PubMed:21206382, ECO:0000269|PubMed:21282656}.; </t>
  </si>
  <si>
    <t xml:space="preserve">DISEASE: Diarrhea 2, with microvillus atrophy (DIAR2) [MIM:251850]: A disease characterized by onset of intractable life-threatening watery diarrhea during infancy. Two forms are recognized: early-onset microvillus inclusion disease with diarrhea beginning in the neonatal period, and late-onset, with first symptoms appearing after 3 or 4 months of life. {ECO:0000269|PubMed:18724368, ECO:0000269|PubMed:19006234, ECO:0000269|PubMed:20186687, ECO:0000269|PubMed:21206382, ECO:0000269|PubMed:24138727, ECO:0000269|PubMed:24892806}. Note=The disease is caused by mutations affecting the gene represented in this entry.; </t>
  </si>
  <si>
    <t xml:space="preserve">1762.64</t>
  </si>
  <si>
    <t xml:space="preserve">120</t>
  </si>
  <si>
    <t xml:space="preserve">52,68</t>
  </si>
  <si>
    <t xml:space="preserve">NM_001318966:c.*1C&gt;T;NM_001318965:c.*1C&gt;T;NM_001034116:c.*1C&gt;T;NM_172195:c.*1C&gt;T;NM_015636:c.*1C&gt;T;NM_001318969:c.*1C&gt;T;NM_001318968:c.*1C&gt;T;NM_001318967:c.*1C&gt;T;uc002rjz.3:c.*1C&gt;T;uc002rka.3:c.*1C&gt;T;uc002rkb.3:c.*1C&gt;T;uc002rkc.3:c.*1C&gt;T;uc031rnv.1:c.*1C&gt;T;uc002rke.3:c.*1C&gt;T</t>
  </si>
  <si>
    <t xml:space="preserve">0.832609528731968</t>
  </si>
  <si>
    <t xml:space="preserve">eukaryotic translation initiation factor 2B subunit delta</t>
  </si>
  <si>
    <t xml:space="preserve">FUNCTION: Catalyzes the exchange of eukaryotic initiation factor 2-bound GDP for GTP.; </t>
  </si>
  <si>
    <t xml:space="preserve">DISEASE: Leukodystrophy with vanishing white matter (VWM) [MIM:603896]: A leukodystrophy that occurs mainly in children. Neurological signs include progressive cerebellar ataxia, spasticity, inconstant optic atrophy and relatively preserved mental abilities. The disease is chronic-progressive with, in most individuals, additional episodes of rapid deterioration following febrile infections or minor head trauma. While childhood onset is the most common form of the disorder, some severe forms are apparent at birth. A severe, early-onset form seen among the Cree and Chippewayan populations of Quebec and Manitoba is called Cree leukoencephalopathy. Milder forms may not become evident until adolescence or adulthood. Some females with milder forms of the disease who survive to adolescence exhibit ovarian dysfunction. This variant of the disorder is called ovarioleukodystrophy. {ECO:0000269|PubMed:11835386, ECO:0000269|PubMed:12707859, ECO:0000269|PubMed:15776425}. Note=The disease is caused by mutations affecting the gene represented in this entry.; </t>
  </si>
  <si>
    <t xml:space="preserve">chr22</t>
  </si>
  <si>
    <t xml:space="preserve">97.64</t>
  </si>
  <si>
    <t xml:space="preserve">25</t>
  </si>
  <si>
    <t xml:space="preserve">21,4</t>
  </si>
  <si>
    <t xml:space="preserve">NM_001362843:c.*938A&gt;C;NM_001429:c.*938A&gt;C;uc003azl.4:c.*938A&gt;C</t>
  </si>
  <si>
    <t xml:space="preserve">6</t>
  </si>
  <si>
    <t xml:space="preserve">0.999999999999484</t>
  </si>
  <si>
    <t xml:space="preserve">E1A binding protein p300</t>
  </si>
  <si>
    <t xml:space="preserve">FUNCTION: Functions as histone acetyltransferase and regulates transcription via chromatin remodeling. Acetylates all four core histones in nucleosomes. Histone acetylation gives an epigenetic tag for transcriptional activation. Mediates cAMP-gene regulation by binding specifically to phosphorylated CREB protein. Mediates acetylation of histone H3 at 'Lys-122' (H3K122ac), a modification that localizes at the surface of the histone octamer and stimulates transcription, possibly by promoting nucleosome instability. Mediates acetylation of histone H3 at 'Lys-27' (H3K27ac). Also functions as acetyltransferase for nonhistone targets. Acetylates 'Lys-131' of ALX1 and acts as its coactivator. Acetylates SIRT2 and is proposed to indirectly increase the transcriptional activity of TP53 through acetylation and subsequent attenuation of SIRT2 deacetylase function. Acetylates HDAC1 leading to its inactivation and modulation of transcription. Acts as a TFAP2A-mediated transcriptional coactivator in presence of CITED2. Plays a role as a coactivator of NEUROD1-dependent transcription of the secretin and p21 genes and controls terminal differentiation of cells in the intestinal epithelium. Promotes cardiac myocyte enlargement. Can also mediate transcriptional repression. Binds to and may be involved in the transforming capacity of the adenovirus E1A protein. In case of HIV-1 infection, it is recruited by the viral protein Tat. Regulates Tat's transactivating activity and may help inducing chromatin remodeling of proviral genes. Acetylates FOXO1 and enhances its transcriptional activity. Acetylates BCL6 wich disrupts its ability to recruit histone deacetylases and hinders its transcriptional repressor activity. Participates in CLOCK or NPAS2-regulated rhythmic gene transcription; exhibits a circadian association with CLOCK or NPAS2, correlating with increase in PER1/2 mRNA and histone H3 acetylation on the PER1/2 promoter. Acetylates MTA1 at 'Lys-626' which is essential for its transcriptional coactivator activity (PubMed:10733570, PubMed:11430825, PubMed:11701890, PubMed:12402037, PubMed:12586840, PubMed:12929931, PubMed:14645221, PubMed:15186775, PubMed:15890677, PubMed:16617102, PubMed:16762839, PubMed:18722353, PubMed:18995842, PubMed:23415232, PubMed:23911289, PubMed:23934153, PubMed:8945521). Acetylates XBP1 isoform 2; acetylation increases protein stability of XBP1 isoform 2 and enhances its transcriptional activity (PubMed:20955178). Acetylates PCNA; acetylation promotes removal of chromatin-bound PCNA and its degradation during nucleotide excision repair (NER) (PubMed:24939902). Acetylates MEF2D. {ECO:0000269|PubMed:10733570, ECO:0000269|PubMed:11430825, ECO:0000269|PubMed:11701890, ECO:0000269|PubMed:12402037, ECO:0000269|PubMed:12586840, ECO:0000269|PubMed:12929931, ECO:0000269|PubMed:14645221, ECO:0000269|PubMed:15186775, ECO:0000269|PubMed:15890677, ECO:0000269|PubMed:16617102, ECO:0000269|PubMed:16762839, ECO:0000269|PubMed:18722353, ECO:0000269|PubMed:18995842, ECO:0000269|PubMed:21030595, ECO:0000269|PubMed:23415232, ECO:0000269|PubMed:23911289, ECO:0000269|PubMed:23934153, ECO:0000269|PubMed:24939902, ECO:0000269|PubMed:8945521, ECO:0000305|PubMed:20955178}.; </t>
  </si>
  <si>
    <t xml:space="preserve">DISEASE: Note=Defects in EP300 may play a role in epithelial cancer.; DISEASE: Note=Chromosomal aberrations involving EP300 may be a cause of acute myeloid leukemias. Translocation t(8;22)(p11;q13) with KAT6A.; DISEASE: Rubinstein-Taybi syndrome 2 (RSTS2) [MIM:613684]: A disorder characterized by craniofacial abnormalities, postnatal growth deficiency, broad thumbs, broad big toes, mental retardation and a propensity for development of malignancies. Some individuals with RSTS2 have less severe mental impairment, more severe microcephaly, and a greater degree of changes in facial bone structure than RSTS1 patients. {ECO:0000269|PubMed:15706485}. Note=The disease is caused by mutations affecting the gene represented in this entry.; </t>
  </si>
  <si>
    <t xml:space="preserve">CAAA</t>
  </si>
  <si>
    <t xml:space="preserve">-</t>
  </si>
  <si>
    <t xml:space="preserve">1108.60</t>
  </si>
  <si>
    <t xml:space="preserve">48</t>
  </si>
  <si>
    <t xml:space="preserve">20,28</t>
  </si>
  <si>
    <t xml:space="preserve">frameshift deletion</t>
  </si>
  <si>
    <t xml:space="preserve">STRC:NM_153700:exon5:c.2171_2174del:p.V724Gfs*6;STRC:uc001zsf.3:exon5:c.2171_2174del:p.V724Gfs*6,STRC:uc010bdl.3:exon6:c.62_65del:p.V21Gfs*6;ENSG00000242866:ENST00000428650:exon5:c.2171_2174del:p.V724Gfs*6,ENSG00000242866:ENST00000450892:exon5:c.2171_2174del:p.V724Gfs*6,ENSG00000242866:ENST00000541030:exon6:c.62_65del:p.V21Gfs*6</t>
  </si>
  <si>
    <t xml:space="preserve">0.00532184460844672</t>
  </si>
  <si>
    <t xml:space="preserve">stereocilin</t>
  </si>
  <si>
    <t xml:space="preserve">FUNCTION: Essential to the formation of horizontal top connectors between outer hair cell stereocilia. {ECO:0000250}.; </t>
  </si>
  <si>
    <t xml:space="preserve">DISEASE: Deafness, autosomal recessive, 16 (DFNB16) [MIM:603720]: A form of non-syndromic sensorineural hearing loss. Sensorineural deafness results from damage to the neural receptors of the inner ear, the nerve pathways to the brain, or the area of the brain that receives sound information. {ECO:0000269|PubMed:11687802}. Note=The disease is caused by mutations affecting the gene represented in this entry.; DISEASE: Deafness-infertility syndrome (DIS) [MIM:611102]: Characterized by deafness and infertility and is caused by large contiguous gene deletions at 15q15.3 that removes both STRC and CATSPER2 genes. {ECO:0000269|PubMed:17098888}. Note=The disease is caused by mutations affecting the gene represented in this entry.; </t>
  </si>
  <si>
    <t xml:space="preserve">chr4</t>
  </si>
  <si>
    <t xml:space="preserve">GCCT</t>
  </si>
  <si>
    <t xml:space="preserve">1213.60</t>
  </si>
  <si>
    <t xml:space="preserve">78</t>
  </si>
  <si>
    <t xml:space="preserve">45,33</t>
  </si>
  <si>
    <t xml:space="preserve">frameshift insertion</t>
  </si>
  <si>
    <t xml:space="preserve">DOK7:NM_001256896:exon4:c.190_191insGCCT:p.A68Sfs*30,DOK7:NM_001363811:exon5:c.688_689insGCCT:p.A234Sfs*30,DOK7:NM_001301071:exon7:c.1120_1121insGCCT:p.A378Sfs*30,DOK7:NM_173660:exon7:c.1120_1121insGCCT:p.A378Sfs*30;DOK7:uc003ghg.1:exon1:c.190_191insGCCT:p.A68Sfs*30,DOK7:uc003ghf.4:exon4:c.190_191insGCCT:p.A68Sfs*30,DOK7:uc003ghd.3:exon7:c.1120_1121insGCCT:p.A378Sfs*30;ENSG00000175920:ENST00000340083:exon7:c.1120_1121insGCCT:p.A378Sfs*30,ENSG00000175920:ENST00000389653:exon7:c.1120_1121insGCCT:p.A378Sfs*30</t>
  </si>
  <si>
    <t xml:space="preserve">0.00480838202293031</t>
  </si>
  <si>
    <t xml:space="preserve">docking protein 7</t>
  </si>
  <si>
    <t xml:space="preserve">FUNCTION: Probable muscle-intrinsic activator of MUSK that plays an essential role in neuromuscular synaptogenesis. Acts in aneural activation of MUSK and subsequent acetylcholine receptor (AchR) clustering in myotubes. Induces autophosphorylation of MUSK. {ECO:0000269|PubMed:20603078}.; </t>
  </si>
  <si>
    <t xml:space="preserve">DISEASE: Myasthenic syndrome, congenital, 10 (CMS10) [MIM:254300]: A form of congenital myasthenic syndrome, a group of disorders characterized by failure of neuromuscular transmission, including pre-synaptic, synaptic, and post-synaptic disorders that are not of autoimmune origin. Clinical features are easy fatigability and muscle weakness affecting the axial and limb muscles (with hypotonia in early-onset forms), the ocular muscles (leading to ptosis and ophthalmoplegia), and the facial and bulbar musculature (affecting sucking and swallowing, and leading to dysphonia). The symptoms fluctuate and worsen with physical effort. CMS10 is an autosomal recessive, post-synaptic form characterized by a typical 'limb girdle' pattern of muscle weakness with small, simplified neuromuscular junctions but normal acetylcholine receptor and acetylcholinesterase function. {ECO:0000269|PubMed:16917026, ECO:0000269|PubMed:17439981, ECO:0000269|PubMed:20012313, ECO:0000269|PubMed:22661499}. Note=The disease is caused by mutations affecting the gene represented in this entry.; </t>
  </si>
  <si>
    <t xml:space="preserve">54.60</t>
  </si>
  <si>
    <t xml:space="preserve">82</t>
  </si>
  <si>
    <t xml:space="preserve">70,12</t>
  </si>
  <si>
    <t xml:space="preserve">USF3:NM_001009899:exon7:c.3047dupA:p.N1016Kfs*9;KIAA2018:uc003eal.3:exon3:c.2879dupA:p.N960Kfs*9,KIAA2018:uc003eam.3:exon7:c.3047dupA:p.N1016Kfs*9;ENSG00000176542:ENST00000478658:exon5:c.3047dupA:p.N1016Kfs*9,ENSG00000176542:ENST00000316407:exon7:c.3047dupA:p.N1016Kfs*9</t>
  </si>
  <si>
    <t xml:space="preserve">not_provided</t>
  </si>
  <si>
    <t xml:space="preserve">upstream transcription factor family member 3</t>
  </si>
  <si>
    <t xml:space="preserve">chr12</t>
  </si>
  <si>
    <t xml:space="preserve">1414.64</t>
  </si>
  <si>
    <t xml:space="preserve">88</t>
  </si>
  <si>
    <t xml:space="preserve">40,48</t>
  </si>
  <si>
    <t xml:space="preserve">Likely_benign</t>
  </si>
  <si>
    <t xml:space="preserve">9.69419848481171e-12</t>
  </si>
  <si>
    <t xml:space="preserve">purinergic receptor P2X 2</t>
  </si>
  <si>
    <t xml:space="preserve">FUNCTION: Ion channel gated by extracellular ATP involved in a variety of cellular responses, such as excitatory postsynaptic responses in sensory neurons, neuromuscular junctions (NMJ) formation, hearing, perception of taste and peristalsis. In the inner ear, regulates sound transduction and auditory neurotransmission, outer hair cell electromotility, inner ear gap junctions, and K(+) recycling. Mediates synaptic transmission between neurons and from neurons to smooth muscle. {ECO:0000269|PubMed:23345450}.; </t>
  </si>
  <si>
    <t xml:space="preserve">DISEASE: Deafness, autosomal dominant, 41 (DFNA41) [MIM:608224]: A form of non-syndromic deafness characterized by onset of progressive sensorineural hearing loss usually in the second decade. The hearing loss is severe and ultimately affects all frequencies. Exposure to noise exacerbates the hearing loss, particularly at high frequencies. {ECO:0000269|PubMed:23345450, ECO:0000269|PubMed:24211385}. Note=The disease is caused by mutations affecting the gene represented in this entry.; </t>
  </si>
  <si>
    <t xml:space="preserve">795.64</t>
  </si>
  <si>
    <t xml:space="preserve">55</t>
  </si>
  <si>
    <t xml:space="preserve">24,31</t>
  </si>
  <si>
    <t xml:space="preserve">intronic;ncRNA_intronic</t>
  </si>
  <si>
    <t xml:space="preserve">B</t>
  </si>
  <si>
    <t xml:space="preserve">0.76630115087899</t>
  </si>
  <si>
    <t xml:space="preserve">AXL receptor tyrosine kinase</t>
  </si>
  <si>
    <t xml:space="preserve">FUNCTION: Receptor tyrosine kinase that transduces signals from the extracellular matrix into the cytoplasm by binding growth factor GAS6 and which is thus regulating many physiological processes including cell survival, cell proliferation, migration and differentiation. Ligand binding at the cell surface induces dimerization and autophosphorylation of AXL. Following activation by ligand, ALX binds and induces tyrosine phosphorylation of PI3- kinase subunits PIK3R1, PIK3R2 and PIK3R3; but also GRB2, PLCG1, LCK and PTPN11. Other downstream substrate candidates for AXL are CBL, NCK2, SOCS1 and TNS2. Recruitment of GRB2 and phosphatidylinositol 3 kinase regulatory subunits by AXL leads to the downstream activation of the AKT kinase. GAS6/AXL signaling plays a role in various processes such as endothelial cell survival during acidification by preventing apoptosis, optimal cytokine signaling during human natural killer cell development, hepatic regeneration, gonadotropin-releasing hormone neuron survival and migration, platelet activation, or regulation of thrombotic responses. Plays also an important role in inhibition of Toll-like receptors (TLRs)-mediated innate immune response. {ECO:0000269|PubMed:10403904, ECO:0000269|PubMed:11484958, ECO:0000269|PubMed:12364394, ECO:0000269|PubMed:12490074, ECO:0000269|PubMed:15507525, ECO:0000269|PubMed:15733062, ECO:0000269|PubMed:1656220, ECO:0000269|PubMed:18840707}.; </t>
  </si>
  <si>
    <t xml:space="preserve">DISEASE: Note=AXL and its ligand GAS6 are highly expressed in thyroid carcinoma tissues, and might thus be involved in thyroid tumorigenesis. Overexpression of AXL and its ligand was also detected in many other cancers such as myeloproliferative disorders, prostatic carcinoma cells, or breast cancer.; </t>
  </si>
  <si>
    <t xml:space="preserve">567.64</t>
  </si>
  <si>
    <t xml:space="preserve">33,21</t>
  </si>
  <si>
    <t xml:space="preserve">3</t>
  </si>
  <si>
    <t xml:space="preserve">1.21111377105808e-32</t>
  </si>
  <si>
    <t xml:space="preserve">titin</t>
  </si>
  <si>
    <t xml:space="preserve">FUNCTION: Key component in the assembly and functioning of vertebrate striated muscles. By providing connections at the level of individual microfilaments, it contributes to the fine balance of forces between the two halves of the sarcomere. The size and extensibility of the cross-links are the main determinants of sarcomere extensibility properties of muscle. In non-muscle cells, seems to play a role in chromosome condensation and chromosome segregation during mitosis. Might link the lamina network to chromatin or nuclear actin, or both during interphase. {ECO:0000269|PubMed:9804419}.; </t>
  </si>
  <si>
    <t xml:space="preserve">DISEASE: Hereditary myopathy with early respiratory failure (HMERF) [MIM:603689]: Autosomal dominant, adult-onset myopathy with early respiratory muscle involvement. {ECO:0000269|PubMed:15802564}. Note=The disease is caused by mutations affecting the gene represented in this entry.; DISEASE: Cardiomyopathy, familial hypertrophic 9 (CMH9) [MIM:613765]: A hereditary heart disorder characterized by ventricular hypertrophy, which is usually asymmetric and often involves the interventricular septum. The symptoms include dyspnea, syncope, collapse, palpitations, and chest pain. They can be readily provoked by exercise. The disorder has inter- and intrafamilial variability ranging from benign to malignant forms with high risk of cardiac failure and sudden cardiac death. {ECO:0000269|PubMed:10462489}. Note=The disease is caused by mutations affecting the gene represented in this entry.; DISEASE: Cardiomyopathy, dilated 1G (CMD1G) [MIM:604145]: A disorder characterized by ventricular dilation and impaired systolic function, resulting in congestive heart failure and arrhythmia. Patients are at risk of premature death. {ECO:0000269|PubMed:11788824, ECO:0000269|PubMed:11846417, ECO:0000269|PubMed:16465475}. Note=The disease is caused by mutations affecting the gene represented in this entry.; DISEASE: Tardive tibial muscular dystrophy (TMD) [MIM:600334]: Autosomal dominant, late-onset distal myopathy. Muscle weakness and atrophy are usually confined to the anterior compartment of the lower leg, in particular the tibialis anterior muscle. Clinical symptoms usually occur at age 35-45 years or much later. {ECO:0000269|PubMed:12145747, ECO:0000269|PubMed:12891679}. Note=The disease is caused by mutations affecting the gene represented in this entry.; DISEASE: Limb-girdle muscular dystrophy 2J (LGMD2J) [MIM:608807]: An autosomal recessive degenerative myopathy characterized by progressive weakness of the pelvic and shoulder girdle muscles. Severe disability is observed within 20 years of onset. {ECO:0000269|PubMed:12145747}. Note=The disease is caused by mutations affecting the gene represented in this entry.; DISEASE: Early-onset myopathy with fatal cardiomyopathy (EOMFC) [MIM:611705]: Early-onset myopathies are inherited muscle disorders that manifest typically from birth or infancy with hypotonia, muscle weakness, and delayed motor development. EOMFC is a titinopathy that, in contrast with the previously described examples, involves both heart and skeletal muscle, has a congenital onset, and is purely recessive. This phenotype is due to homozygous out-of-frame TTN deletions, which lead to a total absence of titin's C-terminal end from striated muscles and to secondary CAPN3 depletion. {ECO:0000269|PubMed:17444505}. Note=The disease is caused by mutations affecting the gene represented in this entry.; </t>
  </si>
  <si>
    <t xml:space="preserve">1234.64</t>
  </si>
  <si>
    <t xml:space="preserve">99</t>
  </si>
  <si>
    <t xml:space="preserve">48,51</t>
  </si>
  <si>
    <t xml:space="preserve">0.000838255657065933</t>
  </si>
  <si>
    <t xml:space="preserve">asparaginyl-tRNA synthetase 2, mitochondrial (putative)</t>
  </si>
  <si>
    <t xml:space="preserve">DISEASE: Combined oxidative phosphorylation deficiency 24 (COXPD24) [MIM:616239]: An autosomal recessive mitochondrial disorder with wide phenotypic variability. Some patients have a milder form affecting only skeletal muscle, whereas others may have a more severe disorder, reminiscent of Alpers syndrome. Alpers syndrome is a progressive neurodegenerative disorder that presents in infancy or early childhood and is characterized by diffuse degeneration of cerebral gray matter. {ECO:0000269|PubMed:25385316, ECO:0000269|PubMed:25629079}. Note=The disease is caused by mutations affecting the gene represented in this entry.; DISEASE: Note=NARS2 mutations may be the cause of deafness, autosomal recessive, 94 (DFNB94). DFNB94 is a form of non- syndromic sensorineural hearing loss. Sensorineural deafness results from damage to the neural receptors of the inner ear, the nerve pathways to the brain, or the area of the brain that receives sound information. {ECO:0000269|PubMed:25807530}.; DISEASE: Leigh syndrome (LS) [MIM:256000]: An early-onset progressive neurodegenerative disorder characterized by the presence of focal, bilateral lesions in one or more areas of the central nervous system including the brainstem, thalamus, basal ganglia, cerebellum and spinal cord. Clinical features depend on which areas of the central nervous system are involved and include subacute onset of psychomotor retardation, hypotonia, ataxia, weakness, vision loss, eye movement abnormalities, seizures, and dysphagia. {ECO:0000269|PubMed:25807530}. Note=The disease may be caused by mutations affecting the gene represented in this entry.; </t>
  </si>
  <si>
    <t xml:space="preserve">85.64</t>
  </si>
  <si>
    <t xml:space="preserve">11</t>
  </si>
  <si>
    <t xml:space="preserve">7,4</t>
  </si>
  <si>
    <t xml:space="preserve">0.999999998507193</t>
  </si>
  <si>
    <t xml:space="preserve">RAN binding protein 2</t>
  </si>
  <si>
    <t xml:space="preserve">FUNCTION: E3 SUMO-protein ligase which facilitates SUMO1 and SUMO2 conjugation by UBE2I. Involved in transport factor (Ran-GTP, karyopherin)-mediated protein import via the F-G repeat-containing domain which acts as a docking site for substrates. Binds single- stranded RNA (in vitro). May bind DNA. Component of the nuclear export pathway. Specific docking site for the nuclear export factor exportin-1. Sumoylates PML at 'Lys-490' which is essential for the proper assembly of PML-NB. {ECO:0000269|PubMed:11792325, ECO:0000269|PubMed:12032081, ECO:0000269|PubMed:15378033, ECO:0000269|PubMed:15931224, ECO:0000269|PubMed:22194619}.; </t>
  </si>
  <si>
    <t xml:space="preserve">DISEASE: Encephalopathy, acute, infection-induced, 3 (IIAE3) [MIM:608033]: A rapidly progressive encephalopathy manifesting in susceptible individuals with seizures and coma. It can occur within days in otherwise healthy children after common viral infections such as influenza and parainfluenza, without evidence of viral infection of the brain or inflammatory cell infiltration. Brain T2-weighted magnetic resonance imaging reveals characteristic symmetric lesions present in the thalami, pons and brainstem. {ECO:0000269|PubMed:19118815}. Note=The disease is caused by mutations affecting the gene represented in this entry. Mutations in the RANBP2 gene predispose to IIAE3, but by themselves are insufficient to make the phenotype fully penetrant; additional genetic and environmental factors are required (PubMed:19118815). {ECO:0000269|PubMed:19118815}.; </t>
  </si>
  <si>
    <t xml:space="preserve">1498.60</t>
  </si>
  <si>
    <t xml:space="preserve">97</t>
  </si>
  <si>
    <t xml:space="preserve">48,49</t>
  </si>
  <si>
    <t xml:space="preserve">CCDC39:NM_181426:exon19:c.2660dupT:p.S888Ifs*6;CCDC39:uc010hxe.3:exon19:c.2660dupT:p.S888Ifs*6;ENSG00000145075:ENST00000489868:exon2:c.176dupT:p.S60Ifs*5,ENSG00000145075:ENST00000442201:exon19:c.2660dupT:p.S888Ifs*6</t>
  </si>
  <si>
    <t xml:space="preserve">5.10298688091632e-05</t>
  </si>
  <si>
    <t xml:space="preserve">coiled-coil domain containing 39</t>
  </si>
  <si>
    <t xml:space="preserve">FUNCTION: Required for assembly of dynein regulatory complex (DRC) and inner dynein arm (IDA) complexes, which are responsible for ciliary beat regulation, thereby playing a central role in motility in cilia and flagella (PubMed:21131972). Probably acts together with CCDC40 to form a molecular ruler that determines the 96 nanometer (nm) repeat length and arrangements of components in cilia and flagella (By similarity). Not required for outer dynein arm complexes assembly (PubMed:21131972). {ECO:0000250|UniProtKB:A8IQT2, ECO:0000269|PubMed:21131972}.; </t>
  </si>
  <si>
    <t xml:space="preserve">1021.64</t>
  </si>
  <si>
    <t xml:space="preserve">65</t>
  </si>
  <si>
    <t xml:space="preserve">25,40</t>
  </si>
  <si>
    <t xml:space="preserve">GGN:NM_152657:exon4:c.C1939T:p.Q647X;GGN:uc002oij.1:exon4:c.C1939T:p.Q647X;ENSG00000179168:ENST00000334928:exon4:c.C1939T:p.Q647X</t>
  </si>
  <si>
    <t xml:space="preserve">2/3</t>
  </si>
  <si>
    <t xml:space="preserve">0.134074173944406</t>
  </si>
  <si>
    <t xml:space="preserve">gametogenetin</t>
  </si>
  <si>
    <t xml:space="preserve">FUNCTION: May be involved in spermatogenesis. {ECO:0000250}.; </t>
  </si>
  <si>
    <t xml:space="preserve">541.64</t>
  </si>
  <si>
    <t xml:space="preserve">30,27</t>
  </si>
  <si>
    <t xml:space="preserve">intronic;ncRNA_exonic</t>
  </si>
  <si>
    <t xml:space="preserve">7.89904665161403e-06</t>
  </si>
  <si>
    <t xml:space="preserve">neutrophil cytosolic factor 4</t>
  </si>
  <si>
    <t xml:space="preserve">FUNCTION: Component of the NADPH-oxidase, a multicomponent enzyme system responsible for the oxidative burst in which electrons are transported from NADPH to molecular oxygen, generating reactive oxidant intermediates. It may be important for the assembly and/or activation of the NADPH-oxidase complex. {ECO:0000269|PubMed:8280052}.; </t>
  </si>
  <si>
    <t xml:space="preserve">DISEASE: Granulomatous disease, chronic, cytochrome-b-positive 3, autosomal recessive (CGD3) [MIM:613960]: A disorder characterized by the inability of neutrophils and phagocytes to kill microbes that they have ingested. Patients suffer from life-threatening bacterial/fungal infections. {ECO:0000269|PubMed:19692703}. Note=The disease is caused by mutations affecting the gene represented in this entry.; </t>
  </si>
  <si>
    <t xml:space="preserve">434.64</t>
  </si>
  <si>
    <t xml:space="preserve">46</t>
  </si>
  <si>
    <t xml:space="preserve">28,18</t>
  </si>
  <si>
    <t xml:space="preserve">DNASE2B:NM_021233:exon3:c.A346T:p.K116X;DNASE2B:uc001djt.1:exon3:c.A346T:p.K116X;ENSG00000137976:ENST00000370665:exon3:c.A346T:p.K116X</t>
  </si>
  <si>
    <t xml:space="preserve">1/3</t>
  </si>
  <si>
    <t xml:space="preserve">3.78798985155026e-14</t>
  </si>
  <si>
    <t xml:space="preserve">deoxyribonuclease II beta</t>
  </si>
  <si>
    <t xml:space="preserve">FUNCTION: Hydrolyzes DNA under acidic conditions. Does not require divalent cations for activity. Participates in the degradation of nuclear DNA during lens cell differentiation. {ECO:0000269|PubMed:11700027, ECO:0000269|PubMed:12944971}.; </t>
  </si>
  <si>
    <t xml:space="preserve">1451.64</t>
  </si>
  <si>
    <t xml:space="preserve">34,54</t>
  </si>
  <si>
    <t xml:space="preserve">TMEM79:NM_032323:exon3:c.G971A:p.R324Q;TMEM79:uc009wrw.3:exon3:c.G971A:p.R324Q,TMEM79:uc010phi.2:exon3:c.G971A:p.R324Q,TMEM79:uc001fod.3:exon4:c.G494A:p.R165Q;ENSG00000163472:ENST00000295694:exon3:c.G971A:p.R324Q,ENSG00000163472:ENST00000405535:exon3:c.G971A:p.R324Q</t>
  </si>
  <si>
    <t xml:space="preserve">3.49884123421551e-07</t>
  </si>
  <si>
    <t xml:space="preserve">transmembrane protein 79</t>
  </si>
  <si>
    <t xml:space="preserve">FUNCTION: Contributes to the epidermal integrity and skin barrier function. Plays a role in the lamellar granule (LG) secretory system and in the stratum corneum (SC) epithelial cell formation (By similarity). {ECO:0000250}.; </t>
  </si>
  <si>
    <t xml:space="preserve">chr10</t>
  </si>
  <si>
    <t xml:space="preserve">329.64</t>
  </si>
  <si>
    <t xml:space="preserve">308</t>
  </si>
  <si>
    <t xml:space="preserve">283,25</t>
  </si>
  <si>
    <t xml:space="preserve">CTBP2:NM_001363508:exon5:c.G856T:p.E286X,CTBP2:NM_022802:exon5:c.G2272T:p.E758X,CTBP2:NM_001321013:exon6:c.G652T:p.E218X,CTBP2:NM_001083914:exon7:c.G652T:p.E218X,CTBP2:NM_001290214:exon7:c.G652T:p.E218X,CTBP2:NM_001290215:exon7:c.G652T:p.E218X,CTBP2:NM_001321012:exon7:c.G652T:p.E218X,CTBP2:NM_001321014:exon7:c.G652T:p.E218X,CTBP2:NM_001329:exon7:c.G652T:p.E218X;CTBP2:uc001lid.4:exon5:c.G856T:p.E286X,CTBP2:uc001lie.4:exon5:c.G2272T:p.E758X,CTBP2:uc001lif.4:exon7:c.G652T:p.E218X,CTBP2:uc001lih.4:exon7:c.G652T:p.E218X,CTBP2:uc009yak.3:exon7:c.G652T:p.E218X,CTBP2:uc009yal.3:exon7:c.G652T:p.E218X;ENSG00000175029:ENST00000309035:exon5:c.G2272T:p.E758X,ENSG00000175029:ENST00000334808:exon5:c.G856T:p.E286X,ENSG00000175029:ENST00000337195:exon7:c.G652T:p.E218X,ENSG00000175029:ENST00000411419:exon7:c.G652T:p.E218X,ENSG00000175029:ENST00000494626:exon7:c.G652T:p.E218X,ENSG00000175029:ENST00000531469:exon7:c.G652T:p.E218X</t>
  </si>
  <si>
    <t xml:space="preserve">0.655184958473335</t>
  </si>
  <si>
    <t xml:space="preserve">C-terminal binding protein 2</t>
  </si>
  <si>
    <t xml:space="preserve">FUNCTION: Corepressor targeting diverse transcription regulators. Functions in brown adipose tissue (BAT) differentiation (By similarity). {ECO:0000250}.; </t>
  </si>
  <si>
    <t xml:space="preserve">4995.64</t>
  </si>
  <si>
    <t xml:space="preserve">224</t>
  </si>
  <si>
    <t xml:space="preserve">93,131</t>
  </si>
  <si>
    <t xml:space="preserve">CTBP2:NM_001321013:exon2:c.A22T:p.K8X,CTBP2:NM_001083914:exon3:c.A22T:p.K8X,CTBP2:NM_001290214:exon3:c.A22T:p.K8X,CTBP2:NM_001290215:exon3:c.A22T:p.K8X,CTBP2:NM_001321012:exon3:c.A22T:p.K8X,CTBP2:NM_001321014:exon3:c.A22T:p.K8X,CTBP2:NM_001329:exon3:c.A22T:p.K8X;CTBP2:uc001lif.4:exon3:c.A22T:p.K8X,CTBP2:uc001lih.4:exon3:c.A22T:p.K8X,CTBP2:uc009yak.3:exon3:c.A22T:p.K8X,CTBP2:uc009yal.3:exon3:c.A22T:p.K8X;ENSG00000175029:ENST00000337195:exon3:c.A22T:p.K8X,ENSG00000175029:ENST00000411419:exon3:c.A22T:p.K8X,ENSG00000175029:ENST00000494626:exon3:c.A22T:p.K8X,ENSG00000175029:ENST00000531469:exon3:c.A22T:p.K8X</t>
  </si>
  <si>
    <t xml:space="preserve">372.64</t>
  </si>
  <si>
    <t xml:space="preserve">25,16</t>
  </si>
  <si>
    <t xml:space="preserve">B4GALNT4:NM_178537:exon16:c.C2641T:p.R881W;B4GALNT4:uc001lpb.3:exon16:c.C2641T:p.R881W;ENSG00000182272:ENST00000526584:exon1:c.C37T:p.R13X</t>
  </si>
  <si>
    <t xml:space="preserve">5/10</t>
  </si>
  <si>
    <t xml:space="preserve">0.816930490785275</t>
  </si>
  <si>
    <t xml:space="preserve">beta-1,4-N-acetyl-galactosaminyltransferase 4</t>
  </si>
  <si>
    <t xml:space="preserve">FUNCTION: Transfers N-acetylgalactosamine (GalNAc) from UDP-GalNAc to N-acetylglucosamine-beta-benzyl with a beta-1,4-linkage to form N,N'-diacetyllactosediamine, GalNAc-beta-1,4-GlcNAc structures in N-linked glycans and probably O-linked glycans.; </t>
  </si>
  <si>
    <t xml:space="preserve">1336.64</t>
  </si>
  <si>
    <t xml:space="preserve">43,54</t>
  </si>
  <si>
    <t xml:space="preserve">PKP3:NM_007183:exon1:c.C44G:p.A15G,PKP3:NM_001303029:exon2:c.C89G:p.A30G;PKP3:uc001lpc.3:exon1:c.C44G:p.A15G,PKP3:uc021qbk.1:exon2:c.C89G:p.A30G;ENST00000531857:exon1:c.42+2C&gt;G;ENSG00000184363:ENST00000331563:exon1:c.C44G:p.A15G</t>
  </si>
  <si>
    <t xml:space="preserve">0.194350414769518</t>
  </si>
  <si>
    <t xml:space="preserve">plakophilin 3</t>
  </si>
  <si>
    <t xml:space="preserve">FUNCTION: May play a role in junctional plaques.; </t>
  </si>
  <si>
    <t xml:space="preserve">876.64</t>
  </si>
  <si>
    <t xml:space="preserve">81</t>
  </si>
  <si>
    <t xml:space="preserve">39,42</t>
  </si>
  <si>
    <t xml:space="preserve">synonymous SNV</t>
  </si>
  <si>
    <t xml:space="preserve">MMP8:NM_002424:exon8:c.A1189C:p.R397R,MMP8:NM_001304441:exon9:c.A1120C:p.R374R,MMP8:NM_001304442:exon9:c.A1120C:p.R374R;MMP8:uc001phe.2:exon8:c.A1189C:p.R397R,MMP8:uc010ruu.1:exon9:c.A1120C:p.R374R;ENSG00000118113:ENST00000236826:exon8:c.A1189C:p.R397R</t>
  </si>
  <si>
    <t xml:space="preserve">1.17621282658989e-19</t>
  </si>
  <si>
    <t xml:space="preserve">matrix metallopeptidase 8</t>
  </si>
  <si>
    <t xml:space="preserve">FUNCTION: Can degrade fibrillar type I, II, and III collagens.; </t>
  </si>
  <si>
    <t xml:space="preserve">634.64</t>
  </si>
  <si>
    <t xml:space="preserve">56</t>
  </si>
  <si>
    <t xml:space="preserve">31,25</t>
  </si>
  <si>
    <t xml:space="preserve">SLC39A5:NM_001135195:exon2:c.C285T:p.H95H,SLC39A5:NM_173596:exon4:c.C285T:p.H95H;SLC39A5:uc010sqk.2:exon2:c.C285T:p.H95H,SLC39A5:uc010sqj.2:exon4:c.C285T:p.H95H;ENSG00000139540:ENST00000266980:exon2:c.C285T:p.H95H,ENSG00000139540:ENST00000419753:exon2:c.C285T:p.H95H,ENSG00000139540:ENST00000437277:exon2:c.C285T:p.H95H,ENSG00000139540:ENST00000417965:exon3:c.C285T:p.H95H,ENSG00000139540:ENST00000424625:exon3:c.C285T:p.H95H,ENSG00000139540:ENST00000436633:exon4:c.C198T:p.H66H,ENSG00000139540:ENST00000454355:exon4:c.C285T:p.H95H</t>
  </si>
  <si>
    <t xml:space="preserve">1.20741073816294e-07</t>
  </si>
  <si>
    <t xml:space="preserve">solute carrier family 39 member 5</t>
  </si>
  <si>
    <t xml:space="preserve">FUNCTION: May play a role in polarized cells by carrying out serosal-to-mucosal zinc transport. Plays a role in eye development. Could regulate the BMP/TGF-beta (bone morphogenetic protein/transforming growth factor-beta) signaling pathway and modulates extracellular matrix (ECM) proteins of the sclera (PubMed:24891338). Seems to play a central role in controlling organismal zinc status (By similarity). {ECO:0000250|UniProtKB:Q9D856, ECO:0000269|PubMed:24891338}.; </t>
  </si>
  <si>
    <t xml:space="preserve">DISEASE: Myopia 24, autosomal dominant (MYP24) [MIM:615946]: A refractive error of the eye, in which parallel rays from a distant object come to focus in front of the retina, vision being better for near objects than for far. {ECO:0000269|PubMed:24891338, ECO:0000269|PubMed:25525168}. Note=The disease is caused by mutations affecting the gene represented in this entry.; </t>
  </si>
  <si>
    <t xml:space="preserve">chr13</t>
  </si>
  <si>
    <t xml:space="preserve">887.64</t>
  </si>
  <si>
    <t xml:space="preserve">49,32</t>
  </si>
  <si>
    <t xml:space="preserve">stoploss</t>
  </si>
  <si>
    <t xml:space="preserve">OXGR1:NM_001346194:exon4:c.A1014T:p.X338C,OXGR1:NM_001346195:exon4:c.A1014T:p.X338C,OXGR1:NM_001346196:exon4:c.A1014T:p.X338C,OXGR1:NM_001346197:exon4:c.A1014T:p.X338C,OXGR1:NM_080818:exon4:c.A1014T:p.X338C;OXGR1:uc021rlr.1:exon1:c.A1014T:p.X338C,OXGR1:uc001vmx.1:exon4:c.A1014T:p.X338C,OXGR1:uc010afr.1:exon4:c.A1014T:p.X338C;ENSG00000165621:ENST00000298440:exon4:c.A1014T:p.X338C,ENSG00000165621:ENST00000543457:exon4:c.A1014T:p.X338C</t>
  </si>
  <si>
    <t xml:space="preserve">1/2</t>
  </si>
  <si>
    <t xml:space="preserve">0.000863935505500482</t>
  </si>
  <si>
    <t xml:space="preserve">oxoglutarate receptor 1</t>
  </si>
  <si>
    <t xml:space="preserve">FUNCTION: Receptor for alpha-ketoglutarate. Seems to act exclusively through a G(q)-mediated pathway (By similarity). {ECO:0000250}.; </t>
  </si>
  <si>
    <t xml:space="preserve">chr16</t>
  </si>
  <si>
    <t xml:space="preserve">1207.64</t>
  </si>
  <si>
    <t xml:space="preserve">89</t>
  </si>
  <si>
    <t xml:space="preserve">42,47</t>
  </si>
  <si>
    <t xml:space="preserve">CORO7:NM_001201473:exon24:c.C2353T:p.R785X,CORO7:NM_001201472:exon26:c.C2554T:p.R852X,CORO7-PAM16:NM_001201479:exon26:c.C2608T:p.R870X,CORO7:NM_001351729:exon26:c.C1948T:p.R650X,CORO7:NM_024535:exon26:c.C2608T:p.R870X;CORO7:uc010uxi.2:exon24:c.C2353T:p.R785X,CORO7-PAM16:uc002cwf.3:exon26:c.C2608T:p.R870X,CORO7:uc002cwg.4:exon26:c.C1948T:p.R650X,CORO7:uc002cwh.4:exon26:c.C2608T:p.R870X,CORO7:uc010uxh.2:exon26:c.C2554T:p.R852X;ENSG00000262246:ENST00000570779:exon3:c.C235T:p.R79X,ENSG00000262246:ENST00000574025:exon24:c.C2353T:p.R785X,ENSG00000262246:ENST00000251166:exon26:c.C2608T:p.R870X,ENSG00000262246:ENST00000537233:exon26:c.C2554T:p.R852X,ENSG00000262246:ENST00000539968:exon26:c.C1948T:p.R650X,ENSG00000103426:ENST00000572467:exon26:c.C2608T:p.R870X</t>
  </si>
  <si>
    <t xml:space="preserve">1.62821439778502e-12;7.31151184071541e-12</t>
  </si>
  <si>
    <t xml:space="preserve">CORO7-PAM16 readthrough;coronin 7</t>
  </si>
  <si>
    <t xml:space="preserve">FUNCTION: F-actin regulator involved in anterograde Golgi to endosome transport: upon ubiquitination via 'Lys-33'-linked ubiquitin chains by the BCR(KLHL20) E3 ubiquitin ligase complex, interacts with EPS15 and localizes to the trans-Golgi network, where it promotes actin polymerization, thereby facilitating post- Golgi trafficking. May play a role in the maintenance of the Golgi apparatus morphology. {ECO:0000269|PubMed:16905771, ECO:0000269|PubMed:24768539}.; ;FUNCTION: F-actin regulator involved in anterograde Golgi to endosome transport: upon ubiquitination via 'Lys-33'-linked ubiquitin chains by the BCR(KLHL20) E3 ubiquitin ligase complex, interacts with EPS15 and localizes to the trans-Golgi network, where it promotes actin polymerization, thereby facilitating post- Golgi trafficking. May play a role in the maintenance of the Golgi apparatus morphology. {ECO:0000269|PubMed:16905771, ECO:0000269|PubMed:24768539}.; </t>
  </si>
  <si>
    <t xml:space="preserve">174.64</t>
  </si>
  <si>
    <t xml:space="preserve">79,10</t>
  </si>
  <si>
    <t xml:space="preserve">TEKT4:NM_001286559:exon6:c.C592T:p.R198X,TEKT4:NM_144705:exon6:c.C1138T:p.R380X;TEKT4:uc002stw.1:exon6:c.C1138T:p.R380X;ENSG00000163060:ENST00000295201:exon6:c.C1138T:p.R380X</t>
  </si>
  <si>
    <t xml:space="preserve">2.56100307685227e-11</t>
  </si>
  <si>
    <t xml:space="preserve">tektin 4</t>
  </si>
  <si>
    <t xml:space="preserve">FUNCTION: Structural component of ciliary and flagellar microtubules. Forms filamentous polymers in the walls of ciliary and flagellar microtubules (By similarity). {ECO:0000250}.; </t>
  </si>
  <si>
    <t xml:space="preserve">Low Mappability</t>
  </si>
  <si>
    <t xml:space="preserve">NGS_LowStringency</t>
  </si>
  <si>
    <t xml:space="preserve">1167.64</t>
  </si>
  <si>
    <t xml:space="preserve">133</t>
  </si>
  <si>
    <t xml:space="preserve">98,35</t>
  </si>
  <si>
    <t xml:space="preserve">exonic;intergenic</t>
  </si>
  <si>
    <t xml:space="preserve">ANKRD36C:NM_001310154:exon85:c.C6115T:p.Q2039X;dist=26859;dist=2168;ENSG00000174501:ENST00000420871:exon55:c.C2770T:p.Q924X,ENSG00000174501:ENST00000419039:exon56:c.C2098T:p.Q700X,ENSG00000174501:ENST00000456556:exon64:c.C5017T:p.Q1673X</t>
  </si>
  <si>
    <t xml:space="preserve">10</t>
  </si>
  <si>
    <t xml:space="preserve">ankyrin repeat domain 36C</t>
  </si>
  <si>
    <t xml:space="preserve">445.64</t>
  </si>
  <si>
    <t xml:space="preserve">916</t>
  </si>
  <si>
    <t xml:space="preserve">816,100</t>
  </si>
  <si>
    <t xml:space="preserve">downstream;exonic</t>
  </si>
  <si>
    <t xml:space="preserve">ANKRD36C:NM_001310154:exon84:c.C5770T:p.Q1924X;dist=419;ENSG00000174501:ENST00000420871:exon54:c.C2425T:p.Q809X,ENSG00000174501:ENST00000419039:exon55:c.C1753T:p.Q585X,ENSG00000174501:ENST00000456556:exon63:c.C4672T:p.Q1558X</t>
  </si>
  <si>
    <t xml:space="preserve">1473.64</t>
  </si>
  <si>
    <t xml:space="preserve">121</t>
  </si>
  <si>
    <t xml:space="preserve">64,57</t>
  </si>
  <si>
    <t xml:space="preserve">MOGAT1:NM_058165:exon5:c.G655A:p.A219T;MOGAT1:uc010fwt.1:exon4:c.G535A:p.A179T,MOGAT1:uc010fws.1:exon5:c.G655A:p.A219T;ENSG00000124003:ENST00000446656:exon5:c.G655A:p.A219T</t>
  </si>
  <si>
    <t xml:space="preserve">2.12658352177613e-06</t>
  </si>
  <si>
    <t xml:space="preserve">monoacylglycerol O-acyltransferase 1</t>
  </si>
  <si>
    <t xml:space="preserve">FUNCTION: Catalyzes the formation of diacylglycerol from 2- monoacylglycerol and fatty acyl-CoA. Probably not involved in absorption of dietary fat in the small intestine (By similarity). {ECO:0000250}.; </t>
  </si>
  <si>
    <t xml:space="preserve">chr20</t>
  </si>
  <si>
    <t xml:space="preserve">1232.64</t>
  </si>
  <si>
    <t xml:space="preserve">108</t>
  </si>
  <si>
    <t xml:space="preserve">62,46</t>
  </si>
  <si>
    <t xml:space="preserve">KIAA1755:NM_001029864:exon3:c.C1528T:p.R510X;KIAA1755:uc002xhy.1:exon3:c.C1528T:p.R510X,KIAA1755:uc002xhz.1:exon3:c.C1528T:p.R510X;ENSG00000149633:ENST00000279024:exon3:c.C1528T:p.R510X</t>
  </si>
  <si>
    <t xml:space="preserve">2.32481835791205e-15</t>
  </si>
  <si>
    <t xml:space="preserve">KIAA1755</t>
  </si>
  <si>
    <t xml:space="preserve">chr21</t>
  </si>
  <si>
    <t xml:space="preserve">2410.64</t>
  </si>
  <si>
    <t xml:space="preserve">94,92</t>
  </si>
  <si>
    <t xml:space="preserve">KRTAP19-7:NM_181614:exon1:c.C155A:p.S52X;KRTAP19-7:uc011adb.2:exon1:c.C155A:p.S52X;ENSG00000244362:ENST00000334849:exon1:c.C155A:p.S52X</t>
  </si>
  <si>
    <t xml:space="preserve">0/2</t>
  </si>
  <si>
    <t xml:space="preserve">0.14123495896819</t>
  </si>
  <si>
    <t xml:space="preserve">keratin associated protein 19-7</t>
  </si>
  <si>
    <t xml:space="preserve">FUNCTION: In the hair cortex, hair keratin intermediate filaments are embedded in an interfilamentous matrix, consisting of hair keratin-associated proteins (KRTAP), which are essential for the formation of a rigid and resistant hair shaft through their extensive disulfide bond cross-linking with abundant cysteine residues of hair keratins. The matrix proteins include the high- sulfur and high-glycine-tyrosine keratins.; </t>
  </si>
  <si>
    <t xml:space="preserve">228.64</t>
  </si>
  <si>
    <t xml:space="preserve">206</t>
  </si>
  <si>
    <t xml:space="preserve">187,19</t>
  </si>
  <si>
    <t xml:space="preserve">GGTLC2:NM_001282879:exon4:c.A418G:p.I140V;GGTLC2:uc010gts.2:exon3:c.A418G:p.I140V;ENST00000448514:exon3:c.417+1A&gt;G</t>
  </si>
  <si>
    <t xml:space="preserve">1/5</t>
  </si>
  <si>
    <t xml:space="preserve">0.000421521541315101</t>
  </si>
  <si>
    <t xml:space="preserve">gamma-glutamyltransferase light chain 2</t>
  </si>
  <si>
    <t xml:space="preserve">1688.64</t>
  </si>
  <si>
    <t xml:space="preserve">141</t>
  </si>
  <si>
    <t xml:space="preserve">72,69</t>
  </si>
  <si>
    <t xml:space="preserve">EIF4ENIF1:NM_001164501:exon3:c.G97A:p.E33K,EIF4ENIF1:NM_001164502:exon3:c.G97A:p.E33K,EIF4ENIF1:NM_019843:exon3:c.G97A:p.E33K;EIF4ENIF1:uc003akz.2:exon3:c.G97A:p.E33K,EIF4ENIF1:uc003ala.2:exon3:c.G97A:p.E33K,EIF4ENIF1:uc003alb.2:exon3:c.G97A:p.E33K,EIF4ENIF1:uc003alc.1:exon3:c.G97A:p.E33K;ENSG00000184708:ENST00000397523:exon2:c.G97A:p.E33K,ENSG00000184708:ENST00000330125:exon3:c.G97A:p.E33K,ENSG00000184708:ENST00000344710:exon3:c.G97A:p.E33K,ENSG00000184708:ENST00000397518:exon3:c.G97A:p.E33K,ENSG00000184708:ENST00000397520:exon3:c.G97A:p.E33K,ENSG00000184708:ENST00000397525:exon3:c.G97A:p.E33K,ENSG00000184708:ENST00000423097:exon3:c.G97A:p.E33K</t>
  </si>
  <si>
    <t xml:space="preserve">6/9</t>
  </si>
  <si>
    <t xml:space="preserve">0.999689053765957</t>
  </si>
  <si>
    <t xml:space="preserve">eukaryotic translation initiation factor 4E nuclear import factor 1</t>
  </si>
  <si>
    <t xml:space="preserve">FUNCTION: Nucleoplasmic shuttling protein. Mediates the nuclear import of EIF4E by a piggy-back mechanism.; </t>
  </si>
  <si>
    <t xml:space="preserve">1173.64</t>
  </si>
  <si>
    <t xml:space="preserve">76</t>
  </si>
  <si>
    <t xml:space="preserve">32,44</t>
  </si>
  <si>
    <t xml:space="preserve">TTC14:NM_001042601:exon10:c.T1175G:p.L392X,TTC14:NM_001288582:exon10:c.T1175G:p.L392X,TTC14:NM_133462:exon10:c.T1175G:p.L392X;TTC14:uc003fkk.3:exon10:c.T1175G:p.L392X,TTC14:uc003fkl.3:exon10:c.T1175G:p.L392X,TTC14:uc003fkm.2:exon10:c.T1175G:p.L392X;ENSG00000163728:ENST00000296015:exon10:c.T1175G:p.L392X,ENSG00000163728:ENST00000382584:exon10:c.T1175G:p.L392X,ENSG00000163728:ENST00000412756:exon10:c.T1175G:p.L392X,ENSG00000163728:ENST00000470669:exon10:c.T1175G:p.L392X</t>
  </si>
  <si>
    <t xml:space="preserve">4.41871480046018e-06</t>
  </si>
  <si>
    <t xml:space="preserve">tetratricopeptide repeat domain 14</t>
  </si>
  <si>
    <t xml:space="preserve">1160.64</t>
  </si>
  <si>
    <t xml:space="preserve">110</t>
  </si>
  <si>
    <t xml:space="preserve">59,51</t>
  </si>
  <si>
    <t xml:space="preserve">CXCL8:NM_000584:exon2:c.G91T:p.E31X,CXCL8:NM_001354840:exon2:c.G91T:p.E31X;IL8:uc003hhe.3:exon2:c.G91T:p.E31X;ENSG00000169429:ENST00000307407:exon2:c.G91T:p.E31X,ENSG00000169429:ENST00000401931:exon2:c.G91T:p.E31X</t>
  </si>
  <si>
    <t xml:space="preserve">C-X-C motif chemokine ligand 8</t>
  </si>
  <si>
    <t xml:space="preserve">FUNCTION: IL-8 is a chemotactic factor that attracts neutrophils, basophils, and T-cells, but not monocytes. It is also involved in neutrophil activation. It is released from several cell types in response to an inflammatory stimulus. IL-8(6-77) has a 5-10-fold higher activity on neutrophil activation, IL-8(5-77) has increased activity on neutrophil activation and IL-8(7-77) has a higher affinity to receptors CXCR1 and CXCR2 as compared to IL-8(1-77), respectively. {ECO:0000269|PubMed:11978786, ECO:0000269|PubMed:2145175, ECO:0000269|PubMed:2212672}.; </t>
  </si>
  <si>
    <t xml:space="preserve">157.64</t>
  </si>
  <si>
    <t xml:space="preserve">105,16</t>
  </si>
  <si>
    <t xml:space="preserve">SLC9B1:NM_001100874:exon11:c.A1318T:p.K440X,SLC9B1:NM_139173:exon11:c.A1318T:p.K440X;SLC9B1:uc011cev.2:exon8:c.A637T:p.K213X,SLC9B1:uc010ilm.3:exon10:c.A619T:p.K207X,SLC9B1:uc003hwu.3:exon11:c.A1318T:p.K440X,SLC9B1:uc003hww.3:exon11:c.A1318T:p.K440X;ENSG00000164037:ENST00000296422:exon11:c.A1318T:p.K440X,ENSG00000164037:ENST00000394789:exon11:c.A1318T:p.K440X</t>
  </si>
  <si>
    <t xml:space="preserve">8.48795187528449e-05</t>
  </si>
  <si>
    <t xml:space="preserve">solute carrier family 9 member B1</t>
  </si>
  <si>
    <t xml:space="preserve">1588.64</t>
  </si>
  <si>
    <t xml:space="preserve">48,62</t>
  </si>
  <si>
    <t xml:space="preserve">MTBP:NM_022045:exon10:c.G1047A:p.K349K;MTBP:uc003ypc.2:exon10:c.G1047A:p.K349K;ENSG00000172167:ENST00000305949:exon10:c.G1047A:p.K349K</t>
  </si>
  <si>
    <t xml:space="preserve">1.71020418457244e-07</t>
  </si>
  <si>
    <t xml:space="preserve">MDM2 binding protein</t>
  </si>
  <si>
    <t xml:space="preserve">FUNCTION: Inhibits cell migration in vitro and suppresses the invasive behavior of tumor cells (By similarity). May play a role in MDM2-dependent p53/TP53 homeostasis in unstressed cells. Inhibits autoubiquitination of MDM2, thereby enhancing MDM2 stability. This promotes MDM2-mediated ubiquitination of p53/TP53 and its subsequent degradation. {ECO:0000250, ECO:0000269|PubMed:15632057}.; </t>
  </si>
  <si>
    <t xml:space="preserve">2946.64</t>
  </si>
  <si>
    <t xml:space="preserve">196</t>
  </si>
  <si>
    <t xml:space="preserve">116,80</t>
  </si>
  <si>
    <t xml:space="preserve">IGSF3:NM_001007237:exon7:c.G1724A:p.W575X,IGSF3:NM_001542:exon8:c.G1784A:p.W595X;IGSF3:uc001egs.1:exon3:c.G743A:p.W248X,IGSF3:uc001egr.2:exon7:c.G1724A:p.W575X,IGSF3:uc031pnr.1:exon7:c.G1784A:p.W595X;ENSG00000143061:ENST00000318837:exon7:c.G1784A:p.W595X,ENSG00000143061:ENST00000369486:exon7:c.G1724A:p.W575X,ENSG00000143061:ENST00000369483:exon8:c.G1784A:p.W595X</t>
  </si>
  <si>
    <t xml:space="preserve">4</t>
  </si>
  <si>
    <t xml:space="preserve">0.987084919325614</t>
  </si>
  <si>
    <t xml:space="preserve">immunoglobulin superfamily member 3</t>
  </si>
  <si>
    <t xml:space="preserve">627.64</t>
  </si>
  <si>
    <t xml:space="preserve">118</t>
  </si>
  <si>
    <t xml:space="preserve">96,22</t>
  </si>
  <si>
    <t xml:space="preserve">IGSF3:NM_001007237:exon4:c.C634T:p.Q212X,IGSF3:NM_001542:exon4:c.C634T:p.Q212X;IGSF3:uc031pnr.1:exon3:c.C634T:p.Q212X,IGSF3:uc001egr.2:exon4:c.C634T:p.Q212X;ENSG00000143061:ENST00000318837:exon3:c.C634T:p.Q212X,ENSG00000143061:ENST00000369483:exon4:c.C634T:p.Q212X,ENSG00000143061:ENST00000369486:exon4:c.C634T:p.Q212X</t>
  </si>
  <si>
    <t xml:space="preserve">1124.64</t>
  </si>
  <si>
    <t xml:space="preserve">85</t>
  </si>
  <si>
    <t xml:space="preserve">36,49</t>
  </si>
  <si>
    <t xml:space="preserve">DHODH:NM_001361:exon6:c.C746T:p.P249L;DHODH:uc002fbp.3:exon6:c.C746T:p.P249L;ENSG00000102967:ENST00000219240:exon6:c.C746T:p.P249L,ENSG00000102967:ENST00000572887:exon6:c.C746T:p.P249L</t>
  </si>
  <si>
    <t xml:space="preserve">9/12</t>
  </si>
  <si>
    <t xml:space="preserve">0.0128239089226836</t>
  </si>
  <si>
    <t xml:space="preserve">dihydroorotate dehydrogenase (quinone)</t>
  </si>
  <si>
    <t xml:space="preserve">FUNCTION: Catalyzes the conversion of dihydroorotate to orotate with quinone as electron acceptor.; </t>
  </si>
  <si>
    <t xml:space="preserve">DISEASE: Postaxial acrofacial dysostosis (POADS) [MIM:263750]: POADS is characterized by severe micrognathia, cleft lip and/or palate, hypoplasia or aplasia of the posterior elements of the limbs, coloboma of the eyelids and supernumerary nipples. POADS is a very rare disorder: only 2 multiplex families, each consisting of 2 affected siblings born to unaffected, nonconsanguineous parents, have been described among a total of around 30 reported cases. {ECO:0000269|PubMed:19915526}. Note=The disease is caused by mutations affecting the gene represented in this entry.; </t>
  </si>
  <si>
    <t xml:space="preserve">487.64</t>
  </si>
  <si>
    <t xml:space="preserve">166</t>
  </si>
  <si>
    <t xml:space="preserve">138,28</t>
  </si>
  <si>
    <t xml:space="preserve">nonsynonymous SNV;startloss</t>
  </si>
  <si>
    <t xml:space="preserve">IGSF3:NM_001007237:exon3:c.G225A:p.M75I,IGSF3:NM_001542:exon3:c.G225A:p.M75I;IGSF3:uc031pnr.1:exon2:c.G225A:p.M75I,IGSF3:uc001egr.2:exon3:c.G225A:p.M75I;ENSG00000143061:ENST00000318837:exon2:c.G225A:p.M75I,ENSG00000143061:ENST00000481589:exon2:c.G3A:p.M1I,ENSG00000143061:ENST00000369483:exon3:c.G225A:p.M75I,ENSG00000143061:ENST00000369486:exon3:c.G225A:p.M75I</t>
  </si>
  <si>
    <t xml:space="preserve">1/12</t>
  </si>
  <si>
    <t xml:space="preserve">1179.64</t>
  </si>
  <si>
    <t xml:space="preserve">113</t>
  </si>
  <si>
    <t xml:space="preserve">67,46</t>
  </si>
  <si>
    <t xml:space="preserve">startloss</t>
  </si>
  <si>
    <t xml:space="preserve">SPAG6:NM_001253854:exon5:c.A1C:p.M1?;SPAG6:uc010qct.2:exon5:c.A1C:p.M1?;ENSG00000077327:ENST00000538630:exon5:c.A1C:p.M1?</t>
  </si>
  <si>
    <t xml:space="preserve">2/8</t>
  </si>
  <si>
    <t xml:space="preserve">7.41292381390175e-06</t>
  </si>
  <si>
    <t xml:space="preserve">sperm associated antigen 6</t>
  </si>
  <si>
    <t xml:space="preserve">FUNCTION: Important for structural integrity of the central apparatus in the sperm tail and for flagellar motility. {ECO:0000250, ECO:0000269|PubMed:10493827}.; </t>
  </si>
  <si>
    <t xml:space="preserve">2029.64</t>
  </si>
  <si>
    <t xml:space="preserve">144</t>
  </si>
  <si>
    <t xml:space="preserve">68,76</t>
  </si>
  <si>
    <t xml:space="preserve">stopgain;synonymous SNV</t>
  </si>
  <si>
    <t xml:space="preserve">U2SURP:NM_001320220:exon13:c.A78T:p.I26I,U2SURP:NM_001080415:exon14:c.A1305T:p.I435I,U2SURP:NM_001320219:exon14:c.A1302T:p.I434I,U2SURP:NM_001320222:exon15:c.A6T:p.I2I;U2SURP:uc003evl.1:exon1:c.A6T:p.I2I,U2SURP:uc003evi.1:exon13:c.A78T:p.I26I,U2SURP:uc003evh.1:exon14:c.A1305T:p.I435I,U2SURP:uc003evk.1:exon14:c.A1302T:p.I434I;ENSG00000163714:ENST00000488497:exon13:c.A1261T:p.R421X</t>
  </si>
  <si>
    <t xml:space="preserve">0.999999613278695</t>
  </si>
  <si>
    <t xml:space="preserve">U2 snRNP-associated SURP domain containing</t>
  </si>
  <si>
    <t xml:space="preserve">540.60</t>
  </si>
  <si>
    <t xml:space="preserve">51</t>
  </si>
  <si>
    <t xml:space="preserve">28,23</t>
  </si>
  <si>
    <t xml:space="preserve">TAS1R3:NM_152228:exon1:c.111dupG:p.L40Afs*62;TAS1R3:uc010nyk.2:exon1:c.111dupG:p.L40Afs*62;ENSG00000169962:ENST00000339381:exon1:c.111dupG:p.L40Afs*62</t>
  </si>
  <si>
    <t xml:space="preserve">taste 1 receptor member 3</t>
  </si>
  <si>
    <t xml:space="preserve">FUNCTION: Putative taste receptor. TAS1R1/TAS1R3 responds to the umami taste stimulus (the taste of monosodium glutamate). TAS1R2/TAS1R3 recognizes diverse natural and synthetic sweeteners. TAS1R3 is essential for the recognition and response to the disaccharide trehalose (By similarity). Sequence differences within and between species can significantly influence the selectivity and specificity of taste responses. {ECO:0000250, ECO:0000269|PubMed:11917125, ECO:0000269|PubMed:12892531}.; </t>
  </si>
  <si>
    <t xml:space="preserve">75.64</t>
  </si>
  <si>
    <t xml:space="preserve">7,3</t>
  </si>
  <si>
    <t xml:space="preserve">4.90849565539176e-05</t>
  </si>
  <si>
    <t xml:space="preserve">ATPase family, AAA domain containing 3C</t>
  </si>
  <si>
    <t xml:space="preserve">1176.60</t>
  </si>
  <si>
    <t xml:space="preserve">248</t>
  </si>
  <si>
    <t xml:space="preserve">196,52</t>
  </si>
  <si>
    <t xml:space="preserve">CDK11A:NM_001313896:exon16:c.1744dupT:p.Y582Lfs*66,CDK11A:NM_001313982:exon16:c.1732dupT:p.Y578Lfs*66,CDK11A:NM_024011:exon16:c.1735dupT:p.Y579Lfs*66,CDK11A:NM_033529:exon16:c.1705dupT:p.Y569Lfs*66;CDK11A:uc001ahj.4:exon6:c.256dupT:p.Y86Lfs*66,CDK11A:uc009vkp.3:exon8:c.586dupT:p.Y196Lfs*66,CDK11A:uc009vkr.3:exon16:c.1705dupT:p.Y569Lfs*66,CDK11A:uc009vks.3:exon16:c.1735dupT:p.Y579Lfs*66;ENSG00000008128:ENST00000356200:exon15:c.1633dupT:p.Y545Lfs*66,ENSG00000008128:ENST00000357760:exon16:c.1732dupT:p.Y578Lfs*66,ENSG00000008128:ENST00000358779:exon16:c.1705dupT:p.Y569Lfs*66,ENSG00000008128:ENST00000378633:exon16:c.1744dupT:p.Y582Lfs*66,ENSG00000008128:ENST00000378638:exon16:c.1633dupT:p.Y545Lfs*66,ENSG00000008128:ENST00000404249:exon16:c.1735dupT:p.Y579Lfs*66</t>
  </si>
  <si>
    <t xml:space="preserve">5.23535259576534e-05</t>
  </si>
  <si>
    <t xml:space="preserve">cyclin-dependent kinase 11A</t>
  </si>
  <si>
    <t xml:space="preserve">FUNCTION: Appears to play multiple roles in cell cycle progression, cytokinesis and apoptosis. The p110 isoforms have been suggested to be involved in pre-mRNA splicing, potentially by phosphorylating the splicing protein SFRS7. The p58 isoform may act as a negative regulator of normal cell cycle progression. {ECO:0000269|PubMed:12501247, ECO:0000269|PubMed:12624090}.; </t>
  </si>
  <si>
    <t xml:space="preserve">38.60</t>
  </si>
  <si>
    <t xml:space="preserve">4,2</t>
  </si>
  <si>
    <t xml:space="preserve">KIAA1522:NM_020888:exon1:c.179delC:p.R62Gfs*28;KIAA1522:uc001bvu.1:exon1:c.179delC:p.R62Gfs*28;ENSG00000162522:ENST00000401073:exon1:c.179delC:p.R62Gfs*28</t>
  </si>
  <si>
    <t xml:space="preserve">0.802365146971355</t>
  </si>
  <si>
    <t xml:space="preserve">KIAA1522</t>
  </si>
  <si>
    <t xml:space="preserve">ACAC</t>
  </si>
  <si>
    <t xml:space="preserve">537.02</t>
  </si>
  <si>
    <t xml:space="preserve">18</t>
  </si>
  <si>
    <t xml:space="preserve">0,12,6</t>
  </si>
  <si>
    <t xml:space="preserve">0.00556558560437493</t>
  </si>
  <si>
    <t xml:space="preserve">adenylate kinase 2</t>
  </si>
  <si>
    <t xml:space="preserve">FUNCTION: Catalyzes the reversible transfer of the terminal phosphate group between ATP and AMP. Plays an important role in cellular energy homeostasis and in adenine nucleotide metabolism. Adenylate kinase activity is critical for regulation of the phosphate utilization and the AMP de novo biosynthesis pathways. Plays a key role in hematopoiesis. {ECO:0000255|HAMAP- Rule:MF_03168, ECO:0000269|PubMed:19043416}.; </t>
  </si>
  <si>
    <t xml:space="preserve">DISEASE: Reticular dysgenesis (RDYS) [MIM:267500]: Most severe form of inborn severe combined immunodeficiencies (SCID) and is characterized by absence of granulocytes and almost complete deficiency of lymphocytes in peripheral blood, hypoplasia of the thymus and secondary lymphoid organs, and lack of innate and adaptive humoral and cellular immune functions, leading to fatal septicemia within days after birth. In bone marrow of individuals with reticular dysgenesis, myeloid differentiation is blocked at the promyelocytic stage, whereas erythro- and megakaryocytic maturation is generally normal. In addition, affected newborns have bilateral sensorineural deafness. Defects may be due to its absence in leukocytes and inner ear, in which its absence can not be compensated by AK1. {ECO:0000269|PubMed:19043416, ECO:0000269|PubMed:19043417}. Note=The disease is caused by mutations affecting the gene represented in this entry.; </t>
  </si>
  <si>
    <t xml:space="preserve">AG</t>
  </si>
  <si>
    <t xml:space="preserve">217.60</t>
  </si>
  <si>
    <t xml:space="preserve">68</t>
  </si>
  <si>
    <t xml:space="preserve">54,14</t>
  </si>
  <si>
    <t xml:space="preserve">CCDC30:NM_001080850:exon3:c.45_46del:p.K21Afs*7;CCDC30:uc001chp.3:exon1:c.45_46del:p.K21Afs*7,CCDC30:uc009vwk.1:exon2:c.45_46del:p.K21Afs*7;ENSG00000186409:ENST00000340612:exon1:c.45_46del:p.K21Afs*7,ENSG00000186409:ENST00000342022:exon2:c.45_46del:p.K21Afs*7,ENSG00000186409:ENST00000471390:exon2:c.45_46del:p.K21Afs*7,ENSG00000186409:ENST00000509712:exon5:c.45_46del:p.K21Afs*7,ENSG00000186409:ENST00000428554:exon9:c.45_46del:p.K21Afs*7</t>
  </si>
  <si>
    <t xml:space="preserve">6.06674580228951e-12</t>
  </si>
  <si>
    <t xml:space="preserve">coiled-coil domain containing 30</t>
  </si>
  <si>
    <t xml:space="preserve">69.60</t>
  </si>
  <si>
    <t xml:space="preserve">23,6</t>
  </si>
  <si>
    <t xml:space="preserve">1.80292277016875e-38;1.84157554257575e-38</t>
  </si>
  <si>
    <t xml:space="preserve">FPGT-TNNI3K readthrough;TNNI3 interacting kinase</t>
  </si>
  <si>
    <t xml:space="preserve">FUNCTION: May play a role in cardiac physiology. {ECO:0000303|PubMed:12721663}.; ;FUNCTION: May play a role in cardiac physiology. {ECO:0000303|PubMed:12721663}.; </t>
  </si>
  <si>
    <t xml:space="preserve">DISEASE: Cardiac conduction disease with or without dilated cardiomyopathy (CCDD) [MIM:616117]: A cardiac disorder characterized by atrial tachyarrhythmia and conduction system disease. Some patients have dilated cardiomyopathy. {ECO:0000269|PubMed:24925317}. Note=The disease is caused by mutations affecting the gene represented in this entry.; ;DISEASE: Cardiac conduction disease with or without dilated cardiomyopathy (CCDD) [MIM:616117]: A cardiac disorder characterized by atrial tachyarrhythmia and conduction system disease. Some patients have dilated cardiomyopathy. {ECO:0000269|PubMed:24925317}. Note=The disease is caused by mutations affecting the gene represented in this entry.; </t>
  </si>
  <si>
    <t xml:space="preserve">GenotypeConflict</t>
  </si>
  <si>
    <t xml:space="preserve">597.64</t>
  </si>
  <si>
    <t xml:space="preserve">34</t>
  </si>
  <si>
    <t xml:space="preserve">14,20</t>
  </si>
  <si>
    <t xml:space="preserve">UTR5;intronic</t>
  </si>
  <si>
    <t xml:space="preserve">uc001dpb.3:c.-500A&gt;G</t>
  </si>
  <si>
    <t xml:space="preserve">0.994762228681169</t>
  </si>
  <si>
    <t xml:space="preserve">ribosomal protein L5</t>
  </si>
  <si>
    <t xml:space="preserve">FUNCTION: Required for rRNA maturation and formation of the 60S ribosomal subunits. This protein binds 5S RNA. {ECO:0000269|PubMed:19061985}.; </t>
  </si>
  <si>
    <t xml:space="preserve">DISEASE: Diamond-Blackfan anemia 6 (DBA6) [MIM:612561]: A form of Diamond-Blackfan anemia, a congenital non-regenerative hypoplastic anemia that usually presents early in infancy. Diamond-Blackfan anemia is characterized by a moderate to severe macrocytic anemia, erythroblastopenia, and an increased risk of malignancy. 30 to 40% of Diamond-Blackfan anemia patients present with short stature and congenital anomalies, the most frequent being craniofacial (Pierre-Robin syndrome and cleft palate), thumb and urogenital anomalies. {ECO:0000269|PubMed:19061985, ECO:0000269|PubMed:19191325}. Note=The disease is caused by mutations affecting the gene represented in this entry.; </t>
  </si>
  <si>
    <t xml:space="preserve">625.64</t>
  </si>
  <si>
    <t xml:space="preserve">58</t>
  </si>
  <si>
    <t xml:space="preserve">32,26</t>
  </si>
  <si>
    <t xml:space="preserve">5.4989943969967e-08</t>
  </si>
  <si>
    <t xml:space="preserve">ferric chelate reductase 1;microRNA 548n</t>
  </si>
  <si>
    <t xml:space="preserve">FUNCTION: Ferric-chelate reductases reduce Fe(3+) to Fe(2+) before its transport from the endosome to the cytoplasm. {ECO:0000250}.; </t>
  </si>
  <si>
    <t xml:space="preserve">13</t>
  </si>
  <si>
    <t xml:space="preserve">10,3</t>
  </si>
  <si>
    <t xml:space="preserve">3.0777571006681e-16</t>
  </si>
  <si>
    <t xml:space="preserve">AP4B1 antisense RNA 1;protein tyrosine phosphatase, non-receptor type 22</t>
  </si>
  <si>
    <t xml:space="preserve">FUNCTION: Acts as negative regulator of T-cell receptor (TCR) signaling by direct dephosphorylation of the Src family kinases LCK and FYN, ITAMs of the TCRz/CD3 complex, as well as ZAP70, VAV, VCP and other key signaling molecules (PubMed:16461343, PubMed:18056643). Associates with and probably dephosphorylates CBL. Dephosphorylates LCK at its activating 'Tyr-394' residue (PubMed:21719704). Dephosphorylates ZAP70 at its activating 'Tyr- 493' residue (PubMed:16461343). Dephosphorylates the immune system activator SKAP2 (PubMed:21719704). Positively regulates toll-like receptor (TLR)-induced type 1 interferon production (PubMed:23871208). Promotes host antiviral responses mediated by type 1 interferon (By similarity). Regulates NOD2-induced pro- inflammatory cytokine secretion and autophagy (PubMed:23991106). {ECO:0000250|UniProtKB:P29352, ECO:0000269|PubMed:16461343, ECO:0000269|PubMed:18056643, ECO:0000269|PubMed:19167335, ECO:0000269|PubMed:21719704, ECO:0000269|PubMed:23871208, ECO:0000269|PubMed:23991106}.; </t>
  </si>
  <si>
    <t xml:space="preserve">DISEASE: Systemic lupus erythematosus (SLE) [MIM:152700]: A chronic, relapsing, inflammatory, and often febrile multisystemic disorder of connective tissue, characterized principally by involvement of the skin, joints, kidneys and serosal membranes. It is of unknown etiology, but is thought to represent a failure of the regulatory mechanisms of the autoimmune system. The disease is marked by a wide range of system dysfunctions, an elevated erythrocyte sedimentation rate, and the formation of LE cells in the blood or bone marrow. {ECO:0000269|PubMed:15273934}. Note=Disease susceptibility is associated with variations affecting the gene represented in this entry.; DISEASE: Diabetes mellitus, insulin-dependent (IDDM) [MIM:222100]: A multifactorial disorder of glucose homeostasis that is characterized by susceptibility to ketoacidosis in the absence of insulin therapy. Clinical features are polydipsia, polyphagia and polyuria which result from hyperglycemia-induced osmotic diuresis and secondary thirst. These derangements result in long-term complications that affect the eyes, kidneys, nerves, and blood vessels. {ECO:0000269|PubMed:15004560}. Note=Disease susceptibility is associated with variations affecting the gene represented in this entry.; DISEASE: Rheumatoid arthritis (RA) [MIM:180300]: An inflammatory disease with autoimmune features and a complex genetic component. It primarily affects the joints and is characterized by inflammatory changes in the synovial membranes and articular structures, widespread fibrinoid degeneration of the collagen fibers in mesenchymal tissues, and by atrophy and rarefaction of bony structures. {ECO:0000269|PubMed:15208781}. Note=Disease susceptibility is associated with variations affecting the gene represented in this entry.; DISEASE: Vitiligo (VTLG) [MIM:193200]: A pigmentary disorder of the skin and mucous membranes. It is characterized by circumscribed depigmented macules and patches, commonly on extensor aspects of extremities, on the face or neck and in skin folds. Vitiligo is a progressive disorder in which some or all of the melanocytes in the affected skin are selectively destroyed. It is a multifactorial disorder with a complex etiology probably including autoimmune mechanisms, and is associated with an elevated risk of other autoimmune diseases. {ECO:0000269|PubMed:16015369}. Note=Disease susceptibility is associated with variations affecting the gene represented in this entry.; </t>
  </si>
  <si>
    <t xml:space="preserve">118.60</t>
  </si>
  <si>
    <t xml:space="preserve">69</t>
  </si>
  <si>
    <t xml:space="preserve">57,12</t>
  </si>
  <si>
    <t xml:space="preserve">SYCP1:NM_001282542:exon31:c.2817dupA:p.L943Tfs*5,SYCP1:NM_001282541:exon32:c.2892dupA:p.L968Tfs*5,SYCP1:NM_003176:exon32:c.2892dupA:p.L968Tfs*5;SYCP1:uc009wgw.3:exon31:c.2817dupA:p.L943Tfs*5,SYCP1:uc001efq.3:exon32:c.2892dupA:p.L968Tfs*5,SYCP1:uc001efr.3:exon32:c.2892dupA:p.L968Tfs*5;ENSG00000198765:ENST00000369518:exon32:c.2892dupA:p.L968Tfs*5,ENSG00000198765:ENST00000369522:exon32:c.2892dupA:p.L968Tfs*5</t>
  </si>
  <si>
    <t xml:space="preserve">0.949997702198387</t>
  </si>
  <si>
    <t xml:space="preserve">synaptonemal complex protein 1</t>
  </si>
  <si>
    <t xml:space="preserve">FUNCTION: Major component of the transverse filaments of synaptonemal complexes (SCS), formed between homologous chromosomes during meiotic prophase.; </t>
  </si>
  <si>
    <t xml:space="preserve">AlleleImbalance</t>
  </si>
  <si>
    <t xml:space="preserve">73</t>
  </si>
  <si>
    <t xml:space="preserve">54,19</t>
  </si>
  <si>
    <t xml:space="preserve">1363.64</t>
  </si>
  <si>
    <t xml:space="preserve">46,51</t>
  </si>
  <si>
    <t xml:space="preserve">UTR3;intergenic;ncRNA_exonic</t>
  </si>
  <si>
    <t xml:space="preserve">dist=22551;dist=61613;uc001ehu.3:c.*2351A&gt;G</t>
  </si>
  <si>
    <t xml:space="preserve">1.21147217431287e-06</t>
  </si>
  <si>
    <t xml:space="preserve">hydroxy-delta-5-steroid dehydrogenase, 3 beta- and steroid delta-isomerase 2</t>
  </si>
  <si>
    <t xml:space="preserve">FUNCTION: 3-beta-HSD is a bifunctional enzyme, that catalyzes the oxidative conversion of Delta(5)-ene-3-beta-hydroxy steroid, and the oxidative conversion of ketosteroids. The 3-beta-HSD enzymatic system plays a crucial role in the biosynthesis of all classes of hormonal steroids.; </t>
  </si>
  <si>
    <t xml:space="preserve">DISEASE: Note=Mild HSD3B2 deficiency in hyperandrogenic females is associated with characteristic traits of polycystic ovary syndrome, such as insulin resistance and luteinizing hormone hypersecretion. {ECO:0000269|PubMed:14764797}.; </t>
  </si>
  <si>
    <t xml:space="preserve">512.64</t>
  </si>
  <si>
    <t xml:space="preserve">7,18</t>
  </si>
  <si>
    <t xml:space="preserve">0.000172508543840191</t>
  </si>
  <si>
    <t xml:space="preserve">natriuretic peptide receptor 1</t>
  </si>
  <si>
    <t xml:space="preserve">FUNCTION: Receptor for the atrial natriuretic peptide NPPA/ANP and the brain natriuretic peptide NPPB/BNP which are potent vasoactive hormones playing a key role in cardiovascular homeostasis. Has guanylate cyclase activity upon binding of the ligand. {ECO:0000269|PubMed:1672777}.; </t>
  </si>
  <si>
    <t xml:space="preserve">40.64</t>
  </si>
  <si>
    <t xml:space="preserve">7</t>
  </si>
  <si>
    <t xml:space="preserve">5,2</t>
  </si>
  <si>
    <t xml:space="preserve">685.60</t>
  </si>
  <si>
    <t xml:space="preserve">49</t>
  </si>
  <si>
    <t xml:space="preserve">22,27</t>
  </si>
  <si>
    <t xml:space="preserve">frameshift deletion;nonframeshift deletion</t>
  </si>
  <si>
    <t xml:space="preserve">SLC27A3:NM_001317929:exon9:c.1786delC:p.H598Tfs*30,SLC27A3:NM_024330:exon9:c.1786delC:p.H598Tfs*65;SLC27A3:uc001fcz.3:exon9:c.1927delC:p.H645Tfs*65;ENSG00000143554:ENST00000524676:exon4:c.310delC:p.H106Tfs*47,ENSG00000143554:ENST00000532853:exon5:c.430delC:p.P144P,ENSG00000143554:ENST00000271857:exon9:c.2170delC:p.H726Tfs*65,ENSG00000143554:ENST00000368661:exon9:c.1927delC:p.H645Tfs*65</t>
  </si>
  <si>
    <t xml:space="preserve">7.80147738518240e-11</t>
  </si>
  <si>
    <t xml:space="preserve">solute carrier family 27 member 3</t>
  </si>
  <si>
    <t xml:space="preserve">FUNCTION: Has acyl-CoA ligase activity for long-chain and very- long-chain fatty acids. Does not exhibit fatty acid transport activity (By similarity). {ECO:0000250}.; </t>
  </si>
  <si>
    <t xml:space="preserve">1781.60</t>
  </si>
  <si>
    <t xml:space="preserve">124</t>
  </si>
  <si>
    <t xml:space="preserve">65,59</t>
  </si>
  <si>
    <t xml:space="preserve">exonic;intronic</t>
  </si>
  <si>
    <t xml:space="preserve">FCRL5:uc001fqv.1:exon8:c.1731dupC:p.T578Hfs*5;ENSG00000143297:ENST00000368189:exon8:c.1731dupC:p.T578Hfs*5</t>
  </si>
  <si>
    <t xml:space="preserve">7.49244691962338e-14</t>
  </si>
  <si>
    <t xml:space="preserve">Fc receptor like 5</t>
  </si>
  <si>
    <t xml:space="preserve">FUNCTION: May be involved in B-cell development and differentiation in peripheral lymphoid organs and may be useful markers of B-cell stages. May have an immunoregulatory role in marginal zone B-cells. {ECO:0000269|PubMed:11453668}.; </t>
  </si>
  <si>
    <t xml:space="preserve">DISEASE: Note=A chromosomal aberration involving FCRL5 has been found in cell lines with 1q21 abnormalities derived from Burkitt lymphoma. Duplication dup(1)(q21q32). {ECO:0000269|PubMed:11290337}.; </t>
  </si>
  <si>
    <t xml:space="preserve">49.64</t>
  </si>
  <si>
    <t xml:space="preserve">1.22273626907589e-05</t>
  </si>
  <si>
    <t xml:space="preserve">Fc fragment of IgG receptor IIIa</t>
  </si>
  <si>
    <t xml:space="preserve">FUNCTION: Receptor for the Fc region of IgG. Binds complexed or aggregated IgG and also monomeric IgG. Mediates antibody-dependent cellular cytotoxicity (ADCC) and other antibody-dependent responses, such as phagocytosis. {ECO:0000269|PubMed:21768335, ECO:0000269|PubMed:22023369}.; </t>
  </si>
  <si>
    <t xml:space="preserve">DISEASE: Immunodeficiency 20 (IMD20) [MIM:615707]: A rare autosomal recessive primary immunodeficiency characterized by functional deficiency of NK cells. Affected individuals typically present with severe herpes viral infections, particularly Epstein Barr virus (EBV), and human papillomavirus (HPV). {ECO:0000269|PubMed:23006327, ECO:0000269|PubMed:8608639, ECO:0000269|PubMed:8609432, ECO:0000269|PubMed:8874200}. Note=The disease is caused by mutations affecting the gene represented in this entry.; </t>
  </si>
  <si>
    <t xml:space="preserve">185.64</t>
  </si>
  <si>
    <t xml:space="preserve">31</t>
  </si>
  <si>
    <t xml:space="preserve">22,9</t>
  </si>
  <si>
    <t xml:space="preserve">0.999941156148536</t>
  </si>
  <si>
    <t xml:space="preserve">protein tyrosine phosphatase, receptor type C</t>
  </si>
  <si>
    <t xml:space="preserve">FUNCTION: Protein tyrosine-protein phosphatase required for T-cell activation through the antigen receptor. Acts as a positive regulator of T-cell coactivation upon binding to DPP4. The first PTPase domain has enzymatic activity, while the second one seems to affect the substrate specificity of the first one. Upon T-cell activation, recruits and dephosphorylates SKAP1 and FYN. Dephosphorylates LYN, and thereby modulates LYN activity (By similarity). {ECO:0000250, ECO:0000269|PubMed:11909961, ECO:0000269|PubMed:2845400}.; </t>
  </si>
  <si>
    <t xml:space="preserve">DISEASE: Severe combined immunodeficiency autosomal recessive T- cell-negative/B-cell-positive/NK-cell-positive (T(-)B(+)NK(+) SCID) [MIM:608971]: A form of severe combined immunodeficiency (SCID), a genetically and clinically heterogeneous group of rare congenital disorders characterized by impairment of both humoral and cell-mediated immunity, leukopenia, and low or absent antibody levels. Patients present in infancy recurrent, persistent infections by opportunistic organisms. The common characteristic of all types of SCID is absence of T-cell-mediated cellular immunity due to a defect in T-cell development. {ECO:0000269|PubMed:11145714}. Note=The disease is caused by mutations affecting the gene represented in this entry.; DISEASE: Multiple sclerosis (MS) [MIM:126200]: A multifactorial, inflammatory, demyelinating disease of the central nervous system. Sclerotic lesions are characterized by perivascular infiltration of monocytes and lymphocytes and appear as indurated areas in pathologic specimens (sclerosis in plaques). The pathological mechanism is regarded as an autoimmune attack of the myelin sheath, mediated by both cellular and humoral immunity. Clinical manifestations include visual loss, extra-ocular movement disorders, paresthesias, loss of sensation, weakness, dysarthria, spasticity, ataxia and bladder dysfunction. Genetic and environmental factors influence susceptibility to the disease. {ECO:0000269|PubMed:11101853}. Note=Disease susceptibility may be associated with variations affecting the gene represented in this entry.; </t>
  </si>
  <si>
    <t xml:space="preserve">260.64</t>
  </si>
  <si>
    <t xml:space="preserve">3,8</t>
  </si>
  <si>
    <t xml:space="preserve">2.50313046386532e-18</t>
  </si>
  <si>
    <t xml:space="preserve">immunoglobulin-like and fibronectin type III domain containing 1</t>
  </si>
  <si>
    <t xml:space="preserve">37.64</t>
  </si>
  <si>
    <t xml:space="preserve">86</t>
  </si>
  <si>
    <t xml:space="preserve">76,10</t>
  </si>
  <si>
    <t xml:space="preserve">intergenic;intronic;ncRNA_intronic</t>
  </si>
  <si>
    <t xml:space="preserve">dist=224939;dist=1384</t>
  </si>
  <si>
    <t xml:space="preserve">family with sequence similarity 72 member A</t>
  </si>
  <si>
    <t xml:space="preserve">FUNCTION: May play a role in the regulation of cellular reactive oxygen species metabolism. May participate in cell growth regulation. {ECO:0000269|PubMed:21317926}.; </t>
  </si>
  <si>
    <t xml:space="preserve">80.64</t>
  </si>
  <si>
    <t xml:space="preserve">8</t>
  </si>
  <si>
    <t xml:space="preserve">5,3</t>
  </si>
  <si>
    <t xml:space="preserve">0.00473910823610697</t>
  </si>
  <si>
    <t xml:space="preserve">SPATA17 antisense RNA 1;spermatogenesis associated 17</t>
  </si>
  <si>
    <t xml:space="preserve">AA</t>
  </si>
  <si>
    <t xml:space="preserve">90.60</t>
  </si>
  <si>
    <t xml:space="preserve">22</t>
  </si>
  <si>
    <t xml:space="preserve">17,5</t>
  </si>
  <si>
    <t xml:space="preserve">0.990825675842053</t>
  </si>
  <si>
    <t xml:space="preserve">microtubule affinity regulating kinase 1</t>
  </si>
  <si>
    <t xml:space="preserve">FUNCTION: Serine/threonine-protein kinase involved in cell polarity and microtubule dynamics regulation. Phosphorylates DCX, MAP2, MAP4 and MAPT/TAU. Involved in cell polarity by phosphorylating the microtubule-associated proteins MAP2, MAP4 and MAPT/TAU at KXGS motifs, causing detachment from microtubules, and their disassembly. Involved in the regulation of neuronal migration through its dual activities in regulating cellular polarity and microtubule dynamics, possibly by phosphorylating and regulating DCX. Also acts as a positive regulator of the Wnt signaling pathway, probably by mediating phosphorylation of dishevelled proteins (DVL1, DVL2 and/or DVL3). {ECO:0000269|PubMed:11433294, ECO:0000269|PubMed:17573348}.; </t>
  </si>
  <si>
    <t xml:space="preserve">DISEASE: Note=Genetic variations in MARK1 may be associated with susceptibility to autism. MARK1 is overexpressed in the prefrontal cortex of patients with autism and causes changes in the function of cortical dendrites.; </t>
  </si>
  <si>
    <t xml:space="preserve">1223.64</t>
  </si>
  <si>
    <t xml:space="preserve">0.099443258781573</t>
  </si>
  <si>
    <t xml:space="preserve">pre-mRNA processing factor 18</t>
  </si>
  <si>
    <t xml:space="preserve">FUNCTION: Participates in the second step of pre-mRNA splicing. {ECO:0000269|PubMed:9000057}.; </t>
  </si>
  <si>
    <t xml:space="preserve">2261.02</t>
  </si>
  <si>
    <t xml:space="preserve">8,80,22</t>
  </si>
  <si>
    <t xml:space="preserve">NM_201593:c.*18delT;NM_201596:c.*18delT;NM_201597:c.*18delT;NM_201571:c.*18delT;NM_201572:c.*18delT;NM_001167945:c.*18delT;NM_000724:c.*18delT;NM_001330060:c.*18delT;NM_201590:c.*18delT;NM_201570:c.*18delT</t>
  </si>
  <si>
    <t xml:space="preserve">0.00182033784193924</t>
  </si>
  <si>
    <t xml:space="preserve">calcium voltage-gated channel auxiliary subunit beta 2</t>
  </si>
  <si>
    <t xml:space="preserve">FUNCTION: The beta subunit of voltage-dependent calcium channels contributes to the function of the calcium channel by increasing peak calcium current, shifting the voltage dependencies of activation and inactivation, modulating G protein inhibition and controlling the alpha-1 subunit membrane targeting.; </t>
  </si>
  <si>
    <t xml:space="preserve">DISEASE: Brugada syndrome 4 (BRGDA4) [MIM:611876]: A heart disease characterized by the association of Brugada syndrome with shortened QT intervals. Brugada syndrome is a tachyarrhythmia characterized by right bundle branch block and ST segment elevation on an electrocardiogram (ECG). It can cause the ventricles to beat so fast that the blood is prevented from circulating efficiently in the body. When this situation occurs, the individual will faint and may die in a few minutes if the heart is not reset. {ECO:0000269|PubMed:17224476}. Note=The disease is caused by mutations affecting the gene represented in this entry.; </t>
  </si>
  <si>
    <t xml:space="preserve">171.64</t>
  </si>
  <si>
    <t xml:space="preserve">3,5</t>
  </si>
  <si>
    <t xml:space="preserve">1.97204391780943e-06</t>
  </si>
  <si>
    <t xml:space="preserve">chromosome 10 open reading frame 67</t>
  </si>
  <si>
    <t xml:space="preserve">287.64</t>
  </si>
  <si>
    <t xml:space="preserve">28</t>
  </si>
  <si>
    <t xml:space="preserve">18,10</t>
  </si>
  <si>
    <t xml:space="preserve">7.08727863800569e-15</t>
  </si>
  <si>
    <t xml:space="preserve">ankyrin repeat domain 26</t>
  </si>
  <si>
    <t xml:space="preserve">179.64</t>
  </si>
  <si>
    <t xml:space="preserve">246</t>
  </si>
  <si>
    <t xml:space="preserve">224,22</t>
  </si>
  <si>
    <t xml:space="preserve">0.983612745475666</t>
  </si>
  <si>
    <t xml:space="preserve">zinc finger E-box binding homeobox 1</t>
  </si>
  <si>
    <t xml:space="preserve">FUNCTION: Acts as a transcriptional repressor. Inhibits interleukin-2 (IL-2) gene expression. Enhances or represses the promoter activity of the ATP1A1 gene depending on the quantity of cDNA and on the cell type. Represses E-cadherin promoter and induces an epithelial-mesenchymal transition (EMT) by recruiting SMARCA4/BRG1. Represses BCL6 transcription in the presence of the corepressor CTBP1. Positively regulates neuronal differentiation. Represses RCOR1 transcription activation during neurogenesis. Represses transcription by binding to the E box (5'-CANNTG-3'). Promotes tumorigenicity by repressing stemness-inhibiting microRNAs. {ECO:0000269|PubMed:19935649, ECO:0000269|PubMed:20175752, ECO:0000269|PubMed:20418909}.; </t>
  </si>
  <si>
    <t xml:space="preserve">DISEASE: Corneal dystrophy, Fuchs endothelial, 6 (FECD6) [MIM:613270]: A corneal disease caused by loss of endothelium of the central cornea. It is characterized by focal wart-like guttata that arise from Descemet membrane and develop in the central cornea, epithelial blisters, reduced vision and pain. Descemet membrane is thickened by abnormal collagenous deposition. {ECO:0000269|PubMed:20036349, ECO:0000269|PubMed:23599324}. Note=The disease is caused by mutations affecting the gene represented in this entry.; </t>
  </si>
  <si>
    <t xml:space="preserve">184.64</t>
  </si>
  <si>
    <t xml:space="preserve">241</t>
  </si>
  <si>
    <t xml:space="preserve">220,21</t>
  </si>
  <si>
    <t xml:space="preserve">45.60</t>
  </si>
  <si>
    <t xml:space="preserve">49,8</t>
  </si>
  <si>
    <t xml:space="preserve">0.999743687068331</t>
  </si>
  <si>
    <t xml:space="preserve">protein kinase, cGMP-dependent, type I</t>
  </si>
  <si>
    <t xml:space="preserve">FUNCTION: Serine/threonine protein kinase that acts as key mediator of the nitric oxide (NO)/cGMP signaling pathway. GMP binding activates PRKG1, which phosphorylates serines and threonines on many cellular proteins. Numerous protein targets for PRKG1 phosphorylation are implicated in modulating cellular calcium, but the contribution of each of these targets may vary substantially among cell types. Proteins that are phosphorylated by PRKG1 regulate platelet activation and adhesion, smooth muscle contraction, cardiac function, gene expression, feedback of the NO-signaling pathway, and other processes involved in several aspects of the CNS like axon guidance, hippocampal and cerebellar learning, circadian rhythm and nociception. Smooth muscle relaxation is mediated through lowering of intracellular free calcium, by desensitization of contractile proteins to calcium, and by decrease in the contractile state of smooth muscle or in platelet activation. Regulates intracellular calcium levels via several pathways: phosphorylates MRVI1/IRAG and inhibits IP3- induced Ca(2+) release from intracellular stores, phosphorylation of KCNMA1 (BKCa) channels decreases intracellular Ca(2+) levels, which leads to increased opening of this channel. PRKG1 phosphorylates the canonical transient receptor potential channel (TRPC) family which inactivates the associated inward calcium current. Another mode of action of NO/cGMP/PKGI signaling involves PKGI-mediated inactivation of the Ras homolog gene family member A (RhoA). Phosphorylation of RHOA by PRKG1 blocks the action of this protein in myriad processes: regulation of RHOA translocation; decreasing contraction; controlling vesicle trafficking, reduction of myosin light chain phosphorylation resulting in vasorelaxation. Activation of PRKG1 by NO signaling alters also gene expression in a number of tissues. In smooth muscle cells, increased cGMP and PRKG1 activity influence expression of smooth muscle-specific contractile proteins, levels of proteins in the NO/cGMP signaling pathway, down-regulation of the matrix proteins osteopontin and thrombospondin-1 to limit smooth muscle cell migration and phenotype. Regulates vasodilator-stimulated phosphoprotein (VASP) functions in platelets and smooth muscle. {ECO:0000269|PubMed:10567269, ECO:0000269|PubMed:11162591, ECO:0000269|PubMed:11723116, ECO:0000269|PubMed:12082086, ECO:0000269|PubMed:14608379, ECO:0000269|PubMed:15194681, ECO:0000269|PubMed:16990611, ECO:0000269|PubMed:8182057}.; </t>
  </si>
  <si>
    <t xml:space="preserve">DISEASE: Aortic aneurysm, familial thoracic 8 (AAT8) [MIM:615436]: A disease characterized by permanent dilation of the thoracic aorta usually due to degenerative changes in the aortic wall. It is primarily associated with a characteristic histologic appearance known as 'medial necrosis' or 'Erdheim cystic medial necrosis' in which there is degeneration and fragmentation of elastic fibers, loss of smooth muscle cells, and an accumulation of basophilic ground substance. {ECO:0000269|PubMed:23910461}. Note=The disease is caused by mutations affecting the gene represented in this entry.; </t>
  </si>
  <si>
    <t xml:space="preserve">121.60</t>
  </si>
  <si>
    <t xml:space="preserve">56,12</t>
  </si>
  <si>
    <t xml:space="preserve">NM_145307:exon2:c.61-2-&gt;T;NM_001282941:exon2:c.61-2-&gt;T;uc001jlw.3:exon2:c.61-2-&gt;T;uc001jlx.2:exon2:c.61-2-&gt;T;ENST00000395265:exon2:c.61-2-&gt;T;ENST00000373789:exon2:c.61-2-&gt;T;ENST00000395260:exon2:c.61-2-&gt;T</t>
  </si>
  <si>
    <t xml:space="preserve">1.30976541627025e-14</t>
  </si>
  <si>
    <t xml:space="preserve">rhotekin 2</t>
  </si>
  <si>
    <t xml:space="preserve">FUNCTION: May play an important role in lymphopoiesis. {ECO:0000269|PubMed:15504364}.; </t>
  </si>
  <si>
    <t xml:space="preserve">388.02</t>
  </si>
  <si>
    <t xml:space="preserve">16</t>
  </si>
  <si>
    <t xml:space="preserve">0,10,6</t>
  </si>
  <si>
    <t xml:space="preserve">0.070328055046955</t>
  </si>
  <si>
    <t xml:space="preserve">WD repeat domain 11</t>
  </si>
  <si>
    <t xml:space="preserve">DISEASE: Note=A chromosomal aberration involving WDR11 is found in a form of Kallmann syndrome. Translocation 46,XY,t(10;12)(q26.12;q13.11).; DISEASE: Hypogonadotropic hypogonadism 14 with or without anosmia (HH14) [MIM:614858]: A disorder characterized by absent or incomplete sexual maturation by the age of 18 years, in conjunction with low levels of circulating gonadotropins and testosterone and no other abnormalities of the hypothalamic- pituitary axis. In some cases, it is associated with non- reproductive phenotypes, such as anosmia, cleft palate, and sensorineural hearing loss. Anosmia or hyposmia is related to the absence or hypoplasia of the olfactory bulbs and tracts. Hypogonadism is due to deficiency in gonadotropin-releasing hormone and probably results from a failure of embryonic migration of gonadotropin-releasing hormone-synthesizing neurons. In the presence of anosmia, idiopathic hypogonadotropic hypogonadism is referred to as Kallmann syndrome, whereas in the presence of a normal sense of smell, it has been termed normosmic idiopathic hypogonadotropic hypogonadism (nIHH). {ECO:0000269|PubMed:20887964}. Note=The disease is caused by mutations affecting the gene represented in this entry.; </t>
  </si>
  <si>
    <t xml:space="preserve">108.60</t>
  </si>
  <si>
    <t xml:space="preserve">143</t>
  </si>
  <si>
    <t xml:space="preserve">133,10</t>
  </si>
  <si>
    <t xml:space="preserve">CTBP2:NM_001363508:exon3:c.463delC:p.L155Sfs*12,CTBP2:NM_022802:exon3:c.1879delC:p.L627Sfs*12,CTBP2:NM_001321013:exon4:c.259delC:p.L87Sfs*12,CTBP2:NM_001083914:exon5:c.259delC:p.L87Sfs*12,CTBP2:NM_001290214:exon5:c.259delC:p.L87Sfs*12,CTBP2:NM_001290215:exon5:c.259delC:p.L87Sfs*12,CTBP2:NM_001321012:exon5:c.259delC:p.L87Sfs*12,CTBP2:NM_001321014:exon5:c.259delC:p.L87Sfs*12,CTBP2:NM_001329:exon5:c.259delC:p.L87Sfs*12;CTBP2:uc001lid.4:exon3:c.463delC:p.L155Sfs*12,CTBP2:uc001lie.4:exon3:c.1879delC:p.L627Sfs*12,CTBP2:uc001lif.4:exon5:c.259delC:p.L87Sfs*12,CTBP2:uc001lih.4:exon5:c.259delC:p.L87Sfs*12,CTBP2:uc009yak.3:exon5:c.259delC:p.L87Sfs*12,CTBP2:uc009yal.3:exon5:c.259delC:p.L87Sfs*12;ENSG00000175029:ENST00000309035:exon3:c.1879delC:p.L627Sfs*12,ENSG00000175029:ENST00000334808:exon3:c.463delC:p.L155Sfs*12,ENSG00000175029:ENST00000337195:exon5:c.259delC:p.L87Sfs*12,ENSG00000175029:ENST00000411419:exon5:c.259delC:p.L87Sfs*12,ENSG00000175029:ENST00000494626:exon5:c.259delC:p.L87Sfs*12,ENSG00000175029:ENST00000531469:exon5:c.259delC:p.L87Sfs*12</t>
  </si>
  <si>
    <t xml:space="preserve">321.60</t>
  </si>
  <si>
    <t xml:space="preserve">119</t>
  </si>
  <si>
    <t xml:space="preserve">100,19</t>
  </si>
  <si>
    <t xml:space="preserve">CTBP2:NM_001363508:exon2:c.373delG:p.V125Wfs*17,CTBP2:NM_022802:exon2:c.1789delG:p.V597Wfs*17,CTBP2:NM_001321013:exon3:c.169delG:p.V57Wfs*17,CTBP2:NM_001083914:exon4:c.169delG:p.V57Wfs*17,CTBP2:NM_001290214:exon4:c.169delG:p.V57Wfs*17,CTBP2:NM_001290215:exon4:c.169delG:p.V57Wfs*17,CTBP2:NM_001321012:exon4:c.169delG:p.V57Wfs*17,CTBP2:NM_001321014:exon4:c.169delG:p.V57Wfs*17,CTBP2:NM_001329:exon4:c.169delG:p.V57Wfs*17;CTBP2:uc001lid.4:exon2:c.373delG:p.V125Wfs*17,CTBP2:uc001lie.4:exon2:c.1789delG:p.V597Wfs*17,CTBP2:uc001lif.4:exon4:c.169delG:p.V57Wfs*17,CTBP2:uc001lih.4:exon4:c.169delG:p.V57Wfs*17,CTBP2:uc009yak.3:exon4:c.169delG:p.V57Wfs*17,CTBP2:uc009yal.3:exon4:c.169delG:p.V57Wfs*17;ENSG00000175029:ENST00000309035:exon2:c.1789delG:p.V597Wfs*17,ENSG00000175029:ENST00000334808:exon2:c.373delG:p.V125Wfs*17,ENSG00000175029:ENST00000337195:exon4:c.169delG:p.V57Wfs*17,ENSG00000175029:ENST00000411419:exon4:c.169delG:p.V57Wfs*17,ENSG00000175029:ENST00000494626:exon4:c.169delG:p.V57Wfs*17,ENSG00000175029:ENST00000531469:exon4:c.169delG:p.V57Wfs*17</t>
  </si>
  <si>
    <t xml:space="preserve">33.60</t>
  </si>
  <si>
    <t xml:space="preserve">106</t>
  </si>
  <si>
    <t xml:space="preserve">98,8</t>
  </si>
  <si>
    <t xml:space="preserve">CTBP2:NM_001363508:exon2:c.301delC:p.R101Afs*19,CTBP2:NM_022802:exon2:c.1717delC:p.R573Afs*19,CTBP2:NM_001321013:exon3:c.97delC:p.R33Afs*19,CTBP2:NM_001083914:exon4:c.97delC:p.R33Afs*19,CTBP2:NM_001290214:exon4:c.97delC:p.R33Afs*19,CTBP2:NM_001290215:exon4:c.97delC:p.R33Afs*19,CTBP2:NM_001321012:exon4:c.97delC:p.R33Afs*19,CTBP2:NM_001321014:exon4:c.97delC:p.R33Afs*19,CTBP2:NM_001329:exon4:c.97delC:p.R33Afs*19;CTBP2:uc001lid.4:exon2:c.301delC:p.R101Afs*19,CTBP2:uc001lie.4:exon2:c.1717delC:p.R573Afs*19,CTBP2:uc001lif.4:exon4:c.97delC:p.R33Afs*19,CTBP2:uc001lih.4:exon4:c.97delC:p.R33Afs*19,CTBP2:uc009yak.3:exon4:c.97delC:p.R33Afs*19,CTBP2:uc009yal.3:exon4:c.97delC:p.R33Afs*19;ENSG00000175029:ENST00000309035:exon2:c.1717delC:p.R573Afs*19,ENSG00000175029:ENST00000334808:exon2:c.301delC:p.R101Afs*19,ENSG00000175029:ENST00000337195:exon4:c.97delC:p.R33Afs*19,ENSG00000175029:ENST00000411419:exon4:c.97delC:p.R33Afs*19,ENSG00000175029:ENST00000494626:exon4:c.97delC:p.R33Afs*19,ENSG00000175029:ENST00000531469:exon4:c.97delC:p.R33Afs*19</t>
  </si>
  <si>
    <t xml:space="preserve">1201.60</t>
  </si>
  <si>
    <t xml:space="preserve">233</t>
  </si>
  <si>
    <t xml:space="preserve">182,51</t>
  </si>
  <si>
    <t xml:space="preserve">CTBP2:NM_001321013:exon2:c.9delT:p.V4Wfs*23,CTBP2:NM_001083914:exon3:c.9delT:p.V4Wfs*23,CTBP2:NM_001290214:exon3:c.9delT:p.V4Wfs*23,CTBP2:NM_001290215:exon3:c.9delT:p.V4Wfs*23,CTBP2:NM_001321012:exon3:c.9delT:p.V4Wfs*23,CTBP2:NM_001321014:exon3:c.9delT:p.V4Wfs*23,CTBP2:NM_001329:exon3:c.9delT:p.V4Wfs*23;CTBP2:uc001lif.4:exon3:c.9delT:p.V4Wfs*23,CTBP2:uc001lih.4:exon3:c.9delT:p.V4Wfs*23,CTBP2:uc009yak.3:exon3:c.9delT:p.V4Wfs*23,CTBP2:uc009yal.3:exon3:c.9delT:p.V4Wfs*23;ENSG00000175029:ENST00000337195:exon3:c.9delT:p.V4Wfs*23,ENSG00000175029:ENST00000411419:exon3:c.9delT:p.V4Wfs*23,ENSG00000175029:ENST00000494626:exon3:c.9delT:p.V4Wfs*23,ENSG00000175029:ENST00000531469:exon3:c.9delT:p.V4Wfs*23,ENSG00000175029:ENST00000530884:exon4:c.9delT:p.L3del</t>
  </si>
  <si>
    <t xml:space="preserve">15,13</t>
  </si>
  <si>
    <t xml:space="preserve">NLR family, pyrin domain containing 6</t>
  </si>
  <si>
    <t xml:space="preserve">FUNCTION: As the sensor component of the NLRP6 inflammasome, plays a crucial role in innate immunity and inflammation. In response to pathogens and other damage-associated signals, initiates the formation of the inflammasome polymeric complex, made of NLRP6, PYCARD and CASP1 (and possibly CASP4 and CASP5). Recruitement of proCASP1 to the inflammasome promotes its activation and CASP1- catalyzed IL1B and IL18 maturation and secretion in the extracellular milieu. The precise NLRP6 activation stimulus has not been identified yet (By similarity) (PubMed:12387869). Essential for gut mucosal self-renewal and proliferation. Maintains intestinal homeostasis and a healthy intestinal microbiota. This function is, at least partially, mediated by IL18, and not IL1B, produced by nonhematopoietic cells. Influences intestinal barrier function and microbial homeostasis through the regulation of goblet cell mucus secretion. Acts by promoting autophagy in goblet cells, an essential step for mucus granule exocytosis. Its role in goblet cell physiology is inflammasome- dependent, but IL1B- and IL18-independent. During systemic bacterial infections, may negatively regulate inflammatory signaling and inhibit the influx of monocytes and neutrophils to the circulation and to the peritoneum. May promote peripheral nerve recovery following injury via an inflammasome-independent mechanism (By similarity). {ECO:0000250|UniProtKB:Q91WS2, ECO:0000250|UniProtKB:Q96P20, ECO:0000269|PubMed:12387869}.; </t>
  </si>
  <si>
    <t xml:space="preserve">41.64</t>
  </si>
  <si>
    <t xml:space="preserve">9</t>
  </si>
  <si>
    <t xml:space="preserve">7,2</t>
  </si>
  <si>
    <t xml:space="preserve">0.926766742543403</t>
  </si>
  <si>
    <t xml:space="preserve">stromal interaction molecule 1</t>
  </si>
  <si>
    <t xml:space="preserve">FUNCTION: Plays a role in mediating store-operated Ca(2+) entry (SOCE), a Ca(2+) influx following depletion of intracellular Ca(2+) stores (PubMed:15866891, PubMed:16005298, PubMed:16208375, PubMed:16537481, PubMed:16733527, PubMed:16766533, PubMed:16807233, PubMed:18854159, PubMed:19249086, PubMed:22464749, PubMed:24069340, PubMed:24351972, PubMed:24591628, PubMed:26322679). Acts as Ca(2+) sensor in the endoplasmic reticulum via its EF-hand domain. Upon Ca(2+) depletion, translocates from the endoplasmic reticulum to the plasma membrane where it activates the Ca(2+) release-activated Ca(2+) (CRAC) channel subunit ORAI1 (PubMed:16208375, PubMed:16537481). Involved in enamel formation (PubMed:24621671). Activated following interaction with TMEM110/STIMATE, leading to promote STIM1 conformational switch (PubMed:26322679). {ECO:0000269|PubMed:15866891, ECO:0000269|PubMed:16005298, ECO:0000269|PubMed:16208375, ECO:0000269|PubMed:16537481, ECO:0000269|PubMed:16733527, ECO:0000269|PubMed:16766533, ECO:0000269|PubMed:16807233, ECO:0000269|PubMed:18854159, ECO:0000269|PubMed:19249086, ECO:0000269|PubMed:22464749, ECO:0000269|PubMed:24069340, ECO:0000269|PubMed:24351972, ECO:0000269|PubMed:24591628, ECO:0000269|PubMed:24621671, ECO:0000269|PubMed:26322679}.; </t>
  </si>
  <si>
    <t xml:space="preserve">DISEASE: Immunodeficiency 10 (IMD10) [MIM:612783]: An immune disorder characterized by recurrent infections, impaired activation and proliferative response of T-cells, decreased T-cell production of cytokines, lymphadenopathy, and normal lymphocytes counts and serum immunoglobulin levels. Additional features include thrombocytopenia, autoimmune hemolytic anemia, myopathy, partial iris hypoplasia, hepatosplenomegaly and defective enamel dentition. {ECO:0000269|PubMed:19420366, ECO:0000269|PubMed:22190180}. Note=The disease is caused by mutations affecting the gene represented in this entry.; DISEASE: Myopathy, tubular aggregate, 1 (TAM1) [MIM:160565]: A rare congenital myopathy characterized by regular arrays of membrane tubules on muscle biopsies without additional histopathological hallmarks. Tubular aggregates in muscle are structures of variable appearance consisting of an outer tubule containing either one or more microtubule-like structures or amorphous material. They may occur in a variety of circumstances, including inherited myopathies, alcohol- and drug-induced myopathies, exercise-induced cramps or muscle weakness. {ECO:0000269|PubMed:23332920}. Note=The disease is caused by mutations affecting the gene represented in this entry.; DISEASE: Stormorken syndrome (STRMK) [MIM:185070]: A rare autosomal dominant disease characterized by mild bleeding tendency, thrombocytopathy, thrombocytopenia, mild anemia, asplenia, tubular aggregate myopathy, miosis, headache, and ichthyosis. {ECO:0000269|PubMed:24591628, ECO:0000269|PubMed:24619930, ECO:0000269|PubMed:25577287}. Note=The disease is caused by mutations affecting the gene represented in this entry.; </t>
  </si>
  <si>
    <t xml:space="preserve">ACCACCCC</t>
  </si>
  <si>
    <t xml:space="preserve">2013.60</t>
  </si>
  <si>
    <t xml:space="preserve">117</t>
  </si>
  <si>
    <t xml:space="preserve">64,53</t>
  </si>
  <si>
    <t xml:space="preserve">OR51T1:NM_001004759:exon1:c.544_545insACCACCCC:p.E185Tfs*5;OR51T1:uc010qyp.2:exon1:c.625_626insACCACCCC:p.E212Tfs*5;ENSG00000176900:ENST00000322049:exon1:c.544_545insACCACCCC:p.E185Tfs*5,ENSG00000176900:ENST00000380378:exon1:c.625_626insACCACCCC:p.E212Tfs*5</t>
  </si>
  <si>
    <t xml:space="preserve">0.0197223467998845</t>
  </si>
  <si>
    <t xml:space="preserve">olfactory receptor family 51 subfamily T member 1</t>
  </si>
  <si>
    <t xml:space="preserve">FUNCTION: Odorant receptor. {ECO:0000305}.; </t>
  </si>
  <si>
    <t xml:space="preserve">105.60</t>
  </si>
  <si>
    <t xml:space="preserve">61</t>
  </si>
  <si>
    <t xml:space="preserve">51,10</t>
  </si>
  <si>
    <t xml:space="preserve">exonic;intronic;ncRNA_exonic;splicing</t>
  </si>
  <si>
    <t xml:space="preserve">ENST00000305836:exon6:c.760-1-&gt;TT;ENSG00000132256:ENST00000396853:exon6:c.761_762insTT:p.L254Ffs*2</t>
  </si>
  <si>
    <t xml:space="preserve">4.36970250918444e-08</t>
  </si>
  <si>
    <t xml:space="preserve">tripartite motif containing 5</t>
  </si>
  <si>
    <t xml:space="preserve">FUNCTION: Capsid-specific restriction factor that prevents infection from non-host-adapted retroviruses. Blocks viral replication early in the life cycle, after viral entry but before reverse transcription. In addition to acting as a capsid-specific restriction factor, also acts as a pattern recognition receptor that activates innate immune signaling in response to the retroviral capsid lattice. Binding to the viral capsid triggers its E3 ubiquitin ligase activity, and in concert with the heterodimeric ubiquitin conjugating enzyme complex UBE2V1-UBE2N (also known as UBC13-UEV1A complex) generates 'Lys-63'-linked polyubiquitin chains, which in turn are catalysts in the autophosphorylation of the MAP3K7/TAK1 complex (includes TAK1, TAB2, and TAB3). Activation of the MAP3K7/TAK1 complex by autophosphorylation results in the induction and expression of NF- kappa-B and MAPK-responsive inflammatory genes, thereby leading to an innate immune response in the infected cell. Restricts infection by N-tropic murine leukemia virus (N-MLV), equine infectious anemia virus (EIAV), simian immunodeficiency virus of macaques (SIVmac), feline immunodeficiency virus (FIV), and bovine immunodeficiency virus (BIV) (PubMed:17156811). Plays a role in regulating autophagy through activation of autophagy regulator BECN1 by causing its dissociation from its inhibitors BCL2 and TAB2 (PubMed:25127057). Also plays a role in autophagy by acting as a selective autophagy receptor which recognizes and targets HIV-1 capsid protein p24 for autophagic destruction (PubMed:25127057). {ECO:0000269|PubMed:12878161, ECO:0000269|PubMed:17156811, ECO:0000269|PubMed:18312418, ECO:0000269|PubMed:21035162, ECO:0000269|PubMed:21512573, ECO:0000269|PubMed:21632761, ECO:0000269|PubMed:22291694, ECO:0000269|PubMed:25127057}.; </t>
  </si>
  <si>
    <t xml:space="preserve">206.64</t>
  </si>
  <si>
    <t xml:space="preserve">12</t>
  </si>
  <si>
    <t xml:space="preserve">5,7</t>
  </si>
  <si>
    <t xml:space="preserve">0.0286553987840972</t>
  </si>
  <si>
    <t xml:space="preserve">SAA2-SAA4 readthrough;serum amyloid A2</t>
  </si>
  <si>
    <t xml:space="preserve">FUNCTION: Major acute phase reactant. Apolipoprotein of the HDL complex.; </t>
  </si>
  <si>
    <t xml:space="preserve">DISEASE: Note=Reactive, secondary amyloidosis is characterized by the extracellular accumulation in various tissues of the SAA2 protein. These deposits are highly insoluble and resistant to proteolysis; they disrupt tissue structure and compromise function. {ECO:0000269|PubMed:1463770}.; </t>
  </si>
  <si>
    <t xml:space="preserve">929.64</t>
  </si>
  <si>
    <t xml:space="preserve">45,36</t>
  </si>
  <si>
    <t xml:space="preserve">9.13494875057035e-05</t>
  </si>
  <si>
    <t xml:space="preserve">doublecortin domain containing 1;doublecortin domain containing 5</t>
  </si>
  <si>
    <t xml:space="preserve">750.02</t>
  </si>
  <si>
    <t xml:space="preserve">44</t>
  </si>
  <si>
    <t xml:space="preserve">7,19,18</t>
  </si>
  <si>
    <t xml:space="preserve">UTR3;exonic</t>
  </si>
  <si>
    <t xml:space="preserve">PAX6:NM_001368929:exon9:c.729delA:p.K244Rfs*29,PAX6:NM_001368911:exon10:c.1182delA:p.K395Rfs*29,PAX6:NM_001368916:exon11:c.1137delA:p.K380Rfs*29,PAX6:NM_001368913:exon12:c.1179delA:p.K394Rfs*29,PAX6:NM_001368915:exon12:c.1137delA:p.K380Rfs*29,PAX6:NM_001368917:exon12:c.1137delA:p.K380Rfs*29,PAX6:NM_001368912:exon13:c.1179delA:p.K394Rfs*29,PAX6:NM_001368914:exon13:c.1179delA:p.K394Rfs*29,PAX6:NM_001368921:exon13:c.978delA:p.K327Rfs*29;uc031pzk.1:c.*19delA;uc031pzl.1:c.*19delA;uc001mtd.4:c.*19delA;uc001mte.5:c.*19delA;uc001mtg.5:c.*19delA;uc001mtf.5:c.*19delA;uc001mth.5:c.*19delA;uc021qfl.1:c.*19delA;uc021qfm.1:c.*19delA;uc009yjr.3:c.*19delA;ENST00000419022:c.*19delA;ENST00000379132:c.*19delA;ENST00000379129:c.*19delA;ENST00000379107:c.*19delA;ENST00000241001:c.*19delA</t>
  </si>
  <si>
    <t xml:space="preserve">0.998807897358069</t>
  </si>
  <si>
    <t xml:space="preserve">paired box 6</t>
  </si>
  <si>
    <t xml:space="preserve">FUNCTION: Transcription factor with important functions in the development of the eye, nose, central nervous system and pancreas. Required for the differentiation of pancreatic islet alpha cells (By similarity). Competes with PAX4 in binding to a common element in the glucagon, insulin and somatostatin promoters. Regulates specification of the ventral neuron subtypes by establishing the correct progenitor domains (By similarity). Isoform 5a appears to function as a molecular switch that specifies target genes. {ECO:0000250}.; </t>
  </si>
  <si>
    <t xml:space="preserve">DISEASE: Aniridia (AN) [MIM:106210]: A congenital, bilateral, panocular disorder characterized by complete absence of the iris or extreme iris hypoplasia. Aniridia is not just an isolated defect in iris development but it is associated with macular and optic nerve hypoplasia, cataract, corneal changes, nystagmus. Visual acuity is generally low but is unrelated to the degree of iris hypoplasia. Glaucoma is a secondary problem causing additional visual loss over time. {ECO:0000269|PubMed:10234503, ECO:0000269|PubMed:10737978, ECO:0000269|PubMed:11309364, ECO:0000269|PubMed:11553050, ECO:0000269|PubMed:11826019, ECO:0000269|PubMed:12552561, ECO:0000269|PubMed:12634864, ECO:0000269|PubMed:21850189, ECO:0000269|PubMed:8364574, ECO:0000269|PubMed:9147640, ECO:0000269|PubMed:9281415, ECO:0000269|PubMed:9792406, ECO:0000269|PubMed:9856761, ECO:0000269|PubMed:9931324, ECO:0000269|Ref.26, ECO:0000269|Ref.27}. Note=The disease is caused by mutations affecting the gene represented in this entry.; DISEASE: Peters anomaly (PETAN) [MIM:604229]: Consists of a central corneal leukoma, absence of the posterior corneal stroma and Descemet membrane, and a variable degree of iris and lenticular attachments to the central aspect of the posterior cornea. {ECO:0000269|PubMed:10441571, ECO:0000269|PubMed:12721955, ECO:0000269|PubMed:8162071}. Note=The disease is caused by mutations affecting the gene represented in this entry.; DISEASE: Foveal hypoplasia 1 (FVH1) [MIM:136520]: An isolated form of foveal hypoplasia, a developmental defect of the eye defined as the lack of foveal depression with continuity of all neurosensory retinal layers in the presumed foveal area. Clinical features include absence of foveal pit on optical coherence tomography, absence of foveal hyperpigmentation, absence of foveal avascularity, absence of foveal and macular reflexes, decreased visual acuity, and nystagmus. Anterior segment anomalies and cataract are observed in some FVH1 patients. {ECO:0000269|PubMed:8640214, ECO:0000269|PubMed:9931324}. Note=The disease is caused by mutations affecting the gene represented in this entry.; DISEASE: Keratitis hereditary (KERH) [MIM:148190]: An ocular disorder characterized by corneal opacification, recurrent stromal keratitis and vascularization. {ECO:0000269|PubMed:7668281}. Note=The disease is caused by mutations affecting the gene represented in this entry.; DISEASE: Coloboma, ocular, autosomal dominant (COAD) [MIM:120200]: A set of malformations resulting from abnormal morphogenesis of the optic cup and stalk, and the fusion of the fetal fissure (optic fissure). The clinical presentation is variable. Some individuals may present with minimal defects in the anterior iris leaf without other ocular defects. More complex malformations create a combination of iris, uveoretinal and/or optic nerve defects without or with microphthalmia or even anophthalmia. {ECO:0000269|PubMed:12721955}. Note=The disease is caused by mutations affecting the gene represented in this entry.; DISEASE: Coloboma of optic nerve (COLON) [MIM:120430]: An ocular defect that is due to malclosure of the fetal intraocular fissure affecting the optic nerve head. In some affected individuals, it appears as enlargement of the physiologic cup with severely affected eyes showing huge cavities at the site of the disk. {ECO:0000269|PubMed:12721955}. Note=The disease is caused by mutations affecting the gene represented in this entry.; DISEASE: Bilateral optic nerve hypoplasia (BONH) [MIM:165550]: A congenital anomaly in which the optic disk appears abnormally small. It may be an isolated finding or part of a spectrum of anatomic and functional abnormalities that includes partial or complete agenesis of the septum pellucidum, other midline brain defects, cerebral anomalies, pituitary dysfunction, and structural abnormalities of the pituitary. {ECO:0000269|PubMed:12721955}. Note=The disease is caused by mutations affecting the gene represented in this entry.; DISEASE: Aniridia, cerebellar ataxia and mental deficiency (ACAMD) [MIM:206700]: A rare condition consisting of partial rudimentary iris, cerebellar impairment of the ability to perform coordinated voluntary movements, and mental retardation. {ECO:0000269|PubMed:17595013}. Note=The disease is caused by mutations affecting the gene represented in this entry.; </t>
  </si>
  <si>
    <t xml:space="preserve">TCTTT</t>
  </si>
  <si>
    <t xml:space="preserve">96,14</t>
  </si>
  <si>
    <t xml:space="preserve">MTCH2:NM_001317232:exon12:c.853_854insAAAGA:p.T285Kfs*8,MTCH2:NM_001317233:exon12:c.436_437insAAAGA:p.T146Kfs*8,MTCH2:NM_014342:exon13:c.880_881insAAAGA:p.T294Kfs*8;MTCH2:uc010rhp.2:exon12:c.436_437insAAAGA:p.T146Kfs*8,MTCH2:uc010rho.2:exon13:c.880_881insAAAGA:p.T294Kfs*8;ENSG00000109919:ENST00000542981:exon12:c.436_437insAAAGA:p.T146Kfs*8,ENSG00000109919:ENST00000302503:exon13:c.880_881insAAAGA:p.T294Kfs*8</t>
  </si>
  <si>
    <t xml:space="preserve">0.166788403447163</t>
  </si>
  <si>
    <t xml:space="preserve">mitochondrial carrier 2</t>
  </si>
  <si>
    <t xml:space="preserve">FUNCTION: The substrate transported is not yet known. Induces mitochondrial depolarization.; </t>
  </si>
  <si>
    <t xml:space="preserve">1751.64</t>
  </si>
  <si>
    <t xml:space="preserve">65,68</t>
  </si>
  <si>
    <t xml:space="preserve">0.999887764233234</t>
  </si>
  <si>
    <t xml:space="preserve">stress induced phosphoprotein 1</t>
  </si>
  <si>
    <t xml:space="preserve">FUNCTION: Mediates the association of the molecular chaperones HSC70 and HSP90 (HSPCA and HSPCB).; </t>
  </si>
  <si>
    <t xml:space="preserve">120.01</t>
  </si>
  <si>
    <t xml:space="preserve">0,6,2</t>
  </si>
  <si>
    <t xml:space="preserve">downstream;exonic;ncRNA_intronic;upstream</t>
  </si>
  <si>
    <t xml:space="preserve">dist=186;dist=79;AX747192:uc001nyr.1:exon1:c.761dupT:p.P255Sfs*30</t>
  </si>
  <si>
    <t xml:space="preserve">763.64</t>
  </si>
  <si>
    <t xml:space="preserve">36,29</t>
  </si>
  <si>
    <t xml:space="preserve">0.722090613819786</t>
  </si>
  <si>
    <t xml:space="preserve">phosphatidylinositol transfer protein membrane associated 1</t>
  </si>
  <si>
    <t xml:space="preserve">FUNCTION: Regulates RHOA activity, and plays a role in cytoskeleton remodeling. Necessary for normal completion of cytokinesis. Plays a role in maintaining normal diacylglycerol levels in the Golgi apparatus. Binds phosphatidyl inositol phosphates (in vitro). May catalyze the transfer of phosphatidylinositol and phosphatidylcholine between membranes (By similarity). Necessary for maintaining the normal structure of the endoplasmic reticulum and the Golgi apparatus. Required for protein export from the endoplasmic reticulum and the Golgi. Binds calcium ions. {ECO:0000250, ECO:0000269|PubMed:10022914, ECO:0000269|PubMed:11909959, ECO:0000269|PubMed:15545272, ECO:0000269|PubMed:15723057}.; </t>
  </si>
  <si>
    <t xml:space="preserve">1300.64</t>
  </si>
  <si>
    <t xml:space="preserve">32,53</t>
  </si>
  <si>
    <t xml:space="preserve">0.00257240105871232</t>
  </si>
  <si>
    <t xml:space="preserve">SID1 transmembrane family member 2</t>
  </si>
  <si>
    <t xml:space="preserve">136.60</t>
  </si>
  <si>
    <t xml:space="preserve">91</t>
  </si>
  <si>
    <t xml:space="preserve">75,16</t>
  </si>
  <si>
    <t xml:space="preserve">CEP164:NM_001271933:exon4:c.337dupA:p.E117Gfs*88,CEP164:NM_014956:exon5:c.337dupA:p.E117Gfs*88;CEP164:uc001prb.4:exon4:c.337dupA:p.E117Gfs*88,CEP164:uc010rxj.1:exon4:c.199dupA:p.E71Gfs*20,CEP164:uc010rxk.1:exon4:c.337dupA:p.E117Gfs*88,CEP164:uc001prc.3:exon5:c.337dupA:p.E117Gfs*88,CEP164:uc001prd.2:exon5:c.337dupA:p.E117Gfs*15;ENSG00000110274:ENST00000533153:exon3:c.199dupA:p.E71Gfs*88,ENSG00000110274:ENST00000525416:exon4:c.199dupA:p.E71Gfs*52,ENSG00000110274:ENST00000533570:exon4:c.337dupA:p.E117Gfs*6,ENSG00000110274:ENST00000278935:exon5:c.337dupA:p.E117Gfs*88,ENSG00000110274:ENST00000525734:exon5:c.337dupA:p.K115_116insK,ENSG00000110274:ENST00000527609:exon5:c.337dupA:p.E117Gfs*5</t>
  </si>
  <si>
    <t xml:space="preserve">9.66879225304467e-18</t>
  </si>
  <si>
    <t xml:space="preserve">centrosomal protein 164kDa</t>
  </si>
  <si>
    <t xml:space="preserve">FUNCTION: Plays a role in microtubule organization and/or maintenance for the formation of primary cilia (PC), a microtubule-based structure that protrudes from the surface of epithelial cells. Plays a critical role in G2/M checkpoint and nuclear divisions. A key player in the DNA damage-activated ATR/ATM signaling cascade since it is required for the proper phosphorylation of H2AX, RPA, CHEK2 and CHEK1. Plays a critical role in chromosome segregation, acting as a mediator required for the maintenance of genomic stability through modulation of MDC1, RPA and CHEK1. {ECO:0000269|PubMed:17954613, ECO:0000269|PubMed:18283122, ECO:0000269|PubMed:23348840}.; </t>
  </si>
  <si>
    <t xml:space="preserve">DISEASE: Nephronophthisis 15 (NPHP15) [MIM:614845]: An autosomal recessive disorder characterized by the association of nephronophthisis with Leber congenital amaurosis and retinal degeneration, often resulting in blindness during childhood. Additional features include seizures, cerebellar vermis hypoplasia, facial dysmorphism, bronchiectasis and liver failure. Nephronophthisis is a chronic tubulo-interstitial nephritis that progresses to end-stage renal failure. {ECO:0000269|PubMed:22863007}. Note=The disease is caused by mutations affecting the gene represented in this entry.; </t>
  </si>
  <si>
    <t xml:space="preserve">84.64</t>
  </si>
  <si>
    <t xml:space="preserve">17</t>
  </si>
  <si>
    <t xml:space="preserve">12,5</t>
  </si>
  <si>
    <t xml:space="preserve">0.000700542902364641</t>
  </si>
  <si>
    <t xml:space="preserve">ATP binding cassette subfamily C member 9</t>
  </si>
  <si>
    <t xml:space="preserve">FUNCTION: Subunit of ATP-sensitive potassium channels (KATP). Can form cardiac and smooth muscle-type KATP channels with KCNJ11. KCNJ11 forms the channel pore while ABCC9 is required for activation and regulation. {ECO:0000269|PubMed:9831708}.; </t>
  </si>
  <si>
    <t xml:space="preserve">DISEASE: Cardiomyopathy, dilated 1O (CMD1O) [MIM:608569]: A disorder characterized by ventricular dilation and impaired systolic function, resulting in congestive heart failure and arrhythmia. Patients are at risk of premature death. {ECO:0000269|PubMed:15034580}. Note=The disease is caused by mutations affecting the gene represented in this entry.; DISEASE: Atrial fibrillation, familial, 12 (ATFB12) [MIM:614050]: A familial form of atrial fibrillation, a common sustained cardiac rhythm disturbance. Atrial fibrillation is characterized by disorganized atrial electrical activity and ineffective atrial contraction promoting blood stasis in the atria and reduces ventricular filling. It can result in palpitations, syncope, thromboembolic stroke, and congestive heart failure. {ECO:0000269|PubMed:17245405}. Note=The disease is caused by mutations affecting the gene represented in this entry.; DISEASE: Hypertrichotic osteochondrodysplasia (HTOCD) [MIM:239850]: A rare disorder characterized by congenital hypertrichosis, neonatal macrosomia, a distinct osteochondrodysplasia, and cardiomegaly. The hypertrichosis leads to thick scalp hair, which extends onto the forehead, and a general increase in body hair. In addition, macrocephaly and coarse facial features, including a broad nasal bridge, epicanthal folds, a wide mouth, and full lips, can be suggestive of a storage disorder. About half of affected individuals are macrosomic and edematous at birth, whereas in childhood they usually have a muscular appearance with little subcutaneous fat. Thickened calvarium, narrow thorax, wide ribs, flattened or ovoid vertebral bodies, coxa valga, osteopenia, enlarged medullary canals, and metaphyseal widening of long bones have been reported. Cardiac manifestations such as patent ductus arteriosus, ventricular hypertrophy, pulmonary hypertension, and pericardial effusions are present in approximately 80% of cases. Motor development is usually delayed due to hypotonia. Most patients have a mild speech delay, and a small percentage have learning difficulties or intellectual disability. {ECO:0000269|PubMed:22608503, ECO:0000269|PubMed:22610116}. Note=The disease is caused by mutations affecting the gene represented in this entry.; </t>
  </si>
  <si>
    <t xml:space="preserve">425.64</t>
  </si>
  <si>
    <t xml:space="preserve">64</t>
  </si>
  <si>
    <t xml:space="preserve">47,17</t>
  </si>
  <si>
    <t xml:space="preserve">DEAD/H-box helicase 11</t>
  </si>
  <si>
    <t xml:space="preserve">FUNCTION: DNA helicase involved in cellular proliferation. Possesses DNA-dependent ATPase and helicase activities. This helicase translocates on single-stranded DNA in the 5' to 3' direction in the presence of ATP and, to a lesser extent, dATP. Its unwinding activity requires a 5'-single-stranded region for helicase loading, since flush-ended duplex structures do not support unwinding. The helicase activity is capable of displacing duplex regions up to 100 bp, which can be extended to 500 bp by RPA or the cohesion establishment factor, the Ctf18-RFC (replication factor C) complex activities. Stimulates the flap endonuclease activity of FEN1. Required for normal sister chromatid cohesion. Required for recruitment of bovine papillomavirus type 1 regulatory protein E2 to mitotic chrmosomes and for viral genome maintenance. Required for maintaining the chromosome segregation and is essential for embryonic development and the prevention of aneuploidy. May function during either S, G2, or M phase of the cell cycle. Binds to both single- and double-stranded DNA. {ECO:0000269|PubMed:10648783, ECO:0000269|PubMed:17105772, ECO:0000269|PubMed:17189189, ECO:0000269|PubMed:18499658, ECO:0000269|PubMed:9013641}.; </t>
  </si>
  <si>
    <t xml:space="preserve">582.64</t>
  </si>
  <si>
    <t xml:space="preserve">39,26</t>
  </si>
  <si>
    <t xml:space="preserve">NM_001351123:exon1:c.79+1G&gt;A;NM_001351125:exon1:UTR5;uc010slv.3:exon1:UTR5;uc001rsg.4:exon1:c.79+1G&gt;A;ENST00000548380:exon1:c.79+1G&gt;A;ENST00000548054:exon1:c.79+1G&gt;A</t>
  </si>
  <si>
    <t xml:space="preserve">long intergenic non-protein coding RNA 935</t>
  </si>
  <si>
    <t xml:space="preserve">167.64</t>
  </si>
  <si>
    <t xml:space="preserve">16,6</t>
  </si>
  <si>
    <t xml:space="preserve">downstream;intronic</t>
  </si>
  <si>
    <t xml:space="preserve">dist=61</t>
  </si>
  <si>
    <t xml:space="preserve">2.40022432048492e-12</t>
  </si>
  <si>
    <t xml:space="preserve">family with sequence similarity 186 member B</t>
  </si>
  <si>
    <t xml:space="preserve">872.02</t>
  </si>
  <si>
    <t xml:space="preserve">26</t>
  </si>
  <si>
    <t xml:space="preserve">0,16,10</t>
  </si>
  <si>
    <t xml:space="preserve">0.00438548410684657</t>
  </si>
  <si>
    <t xml:space="preserve">aquaporin 5</t>
  </si>
  <si>
    <t xml:space="preserve">FUNCTION: Forms a water-specific channel. Implicated in the generation of saliva, tears, and pulmonary secretions. Required for TRPV4 activation by hypotonicity (PubMed:16571723). Together with TRPV4, controls regulatory volume decrease in salivary epithelial cells (PubMed:16571723). {ECO:0000269|PubMed:16571723}.; </t>
  </si>
  <si>
    <t xml:space="preserve">DISEASE: Keratoderma, palmoplantar, Bothnian type (PPKB) [MIM:600231]: A dermatological disorder characterized by diffuse non-epidermolytic hyperkeratosis of the skin of palms and soles. PPKB is frequently complicated by fungal infections. {ECO:0000269|PubMed:23830519}. Note=The disease is caused by mutations affecting the gene represented in this entry.; </t>
  </si>
  <si>
    <t xml:space="preserve">73.60</t>
  </si>
  <si>
    <t xml:space="preserve">51,5</t>
  </si>
  <si>
    <t xml:space="preserve">CTDSP2:NM_005730:exon8:c.812delC:p.P271Lfs*52;CTDSP2:uc010ssg.2:exon3:c.434delC:p.P145Lfs*52,CTDSP2:uc009zqg.3:exon4:c.293delC:p.P98Lfs*52,CTDSP2:uc001sqm.3:exon8:c.812delC:p.P271Lfs*52,CTDSP2:uc009zqf.3:exon8:c.356delC:p.P119Lfs*52;ENSG00000175215:ENST00000548823:exon4:c.293delC:p.P98Lfs*52,ENSG00000175215:ENST00000549039:exon4:c.374delC:p.P125Lfs*52,ENSG00000175215:ENST00000398073:exon8:c.812delC:p.P271Lfs*52,ENSG00000175215:ENST00000547701:exon8:c.356delC:p.P119Lfs*48</t>
  </si>
  <si>
    <t xml:space="preserve">0.397665011331897</t>
  </si>
  <si>
    <t xml:space="preserve">CTD small phosphatase 2</t>
  </si>
  <si>
    <t xml:space="preserve">FUNCTION: Preferentially catalyzes the dephosphorylation of 'Ser- 5' within the tandem 7 residue repeats in the C-terminal domain (CTD) of the largest RNA polymerase II subunit POLR2A. Negatively regulates RNA polymerase II transcription, possibly by controlling the transition from initiation/capping to processive transcript elongation. Recruited by REST to neuronal genes that contain RE-1 elements, leading to neuronal gene silencing in non-neuronal cells. May contribute to the development of sarcomas. {ECO:0000269|PubMed:12721286, ECO:0000269|PubMed:15681389}.; </t>
  </si>
  <si>
    <t xml:space="preserve">GGTC</t>
  </si>
  <si>
    <t xml:space="preserve">272.60</t>
  </si>
  <si>
    <t xml:space="preserve">147,20</t>
  </si>
  <si>
    <t xml:space="preserve">CTDSP2:NM_005730:exon7:c.636_639del:p.K212Nfs*34;CTDSP2:uc010ssg.2:exon2:c.258_261del:p.K86Nfs*34,CTDSP2:uc001sqm.3:exon7:c.636_639del:p.K212Nfs*34,CTDSP2:uc009zqf.3:exon7:c.180_183del:p.K60Nfs*34;ENSG00000175215:ENST00000549039:exon3:c.198_201del:p.K66Nfs*34,ENSG00000175215:ENST00000398073:exon7:c.636_639del:p.K212Nfs*34,ENSG00000175215:ENST00000547701:exon7:c.180_183del:p.K60Nfs*34</t>
  </si>
  <si>
    <t xml:space="preserve">TC</t>
  </si>
  <si>
    <t xml:space="preserve">336.60</t>
  </si>
  <si>
    <t xml:space="preserve">151</t>
  </si>
  <si>
    <t xml:space="preserve">133,18</t>
  </si>
  <si>
    <t xml:space="preserve">CTDSP2:NM_005730:exon7:c.632_633insGA:p.T213Rfs*35;CTDSP2:uc010ssg.2:exon2:c.254_255insGA:p.T87Rfs*35,CTDSP2:uc001sqm.3:exon7:c.632_633insGA:p.T213Rfs*35,CTDSP2:uc009zqf.3:exon7:c.176_177insGA:p.T61Rfs*35;ENSG00000175215:ENST00000549039:exon3:c.194_195insGA:p.T67Rfs*35,ENSG00000175215:ENST00000398073:exon7:c.632_633insGA:p.T213Rfs*35,ENSG00000175215:ENST00000547701:exon7:c.176_177insGA:p.T61Rfs*35</t>
  </si>
  <si>
    <t xml:space="preserve">59.60</t>
  </si>
  <si>
    <t xml:space="preserve">25,4</t>
  </si>
  <si>
    <t xml:space="preserve">1;1;1</t>
  </si>
  <si>
    <t xml:space="preserve">0.733852103838821</t>
  </si>
  <si>
    <t xml:space="preserve">high mobility group AT-hook 2</t>
  </si>
  <si>
    <t xml:space="preserve">FUNCTION: Functions as a transcriptional regulator. Functions in cell cycle regulation through CCNA2. Plays an important role in chromosome condensation during the meiotic G2/M transition of spermatocytes. {ECO:0000269|PubMed:14645522}.; </t>
  </si>
  <si>
    <t xml:space="preserve">DISEASE: Note=A chromosomal aberration involving HMGA2 is associated with a subclass of benign mesenchymal tumors known as lipomas. Translocation t(3;12)(q27-q28;q13-q15) with LPP is shown in lipomas. HMGA2 is also fused with a number of other genes in lipomas. {ECO:0000269|PubMed:8824803}.; DISEASE: Note=A chromosomal aberration involving HMGA2 is associated with pulmonary chondroid hamartomas. Translocation t(3;12)(q27-q28;q14-q15) with LPP is detected in pulmonary chondroid hamartomas. {ECO:0000269|PubMed:11066083}.; DISEASE: Note=A chromosomal aberration involving HMGA2 is associated with parosteal lipomas. Translocation t(3;12)(q28;q14) with LPP is also shown in one parosteal lipoma. {ECO:0000269|PubMed:9772904}.; DISEASE: Note=A chromosomal aberration involving HMGA2 is found in uterine leiomyoma. Translocation t(12;14)(q15;q23-24) with RAD51B. Chromosomal rearrangements involving HMGA2 do not seem to be the principle pathobiological mechanism in uterine leiomyoma. {ECO:0000269|PubMed:12649198, ECO:0000269|PubMed:9892177}.; </t>
  </si>
  <si>
    <t xml:space="preserve">TTTTTTTTTTT</t>
  </si>
  <si>
    <t xml:space="preserve">425.98</t>
  </si>
  <si>
    <t xml:space="preserve">0,12</t>
  </si>
  <si>
    <t xml:space="preserve">UTR3;ncRNA_exonic</t>
  </si>
  <si>
    <t xml:space="preserve">NM_000239:c.*278_*279insTTTTTTTTTTT;uc001suw.2:c.*278_*279insTTTTTTTTTTT</t>
  </si>
  <si>
    <t xml:space="preserve">0.00137551693250335</t>
  </si>
  <si>
    <t xml:space="preserve">lysozyme</t>
  </si>
  <si>
    <t xml:space="preserve">FUNCTION: Lysozymes have primarily a bacteriolytic function; those in tissues and body fluids are associated with the monocyte- macrophage system and enhance the activity of immunoagents.; </t>
  </si>
  <si>
    <t xml:space="preserve">DISEASE: Amyloidosis 8 (AMYL8) [MIM:105200]: A hereditary generalized amyloidosis due to deposition of apolipoprotein A1, fibrinogen and lysozyme amyloids. Viscera are particularly affected. There is no involvement of the nervous system. Clinical features include renal amyloidosis resulting in nephrotic syndrome, arterial hypertension, hepatosplenomegaly, cholestasis, petechial skin rash. {ECO:0000269|PubMed:8464497}. Note=The disease is caused by mutations affecting the gene represented in this entry.; </t>
  </si>
  <si>
    <t xml:space="preserve">72.64</t>
  </si>
  <si>
    <t xml:space="preserve">4,4</t>
  </si>
  <si>
    <t xml:space="preserve">0.999975971595094</t>
  </si>
  <si>
    <t xml:space="preserve">PTPRF interacting protein alpha 2</t>
  </si>
  <si>
    <t xml:space="preserve">FUNCTION: Alters PTPRF cellular localization and induces PTPRF clustering. May regulate the disassembly of focal adhesions. May localize receptor-like tyrosine phosphatases type 2A at specific sites on the plasma membrane, possibly regulating their interaction with the extracellular environment and their association with substrates. {ECO:0000269|PubMed:9624153}.; </t>
  </si>
  <si>
    <t xml:space="preserve">TCTG</t>
  </si>
  <si>
    <t xml:space="preserve">193.60</t>
  </si>
  <si>
    <t xml:space="preserve">4.22557947344879e-06</t>
  </si>
  <si>
    <t xml:space="preserve">N-acetylglucosamine-1-phosphate transferase alpha and beta subunits</t>
  </si>
  <si>
    <t xml:space="preserve">FUNCTION: Catalyzes the formation of mannose 6-phosphate (M6P) markers on high mannose type oligosaccharides in the Golgi apparatus. M6P residues are required to bind to the M6P receptors (MPR), which mediate the vesicular transport of lysosomal enzymes to the endosomal/prelysosomal compartment. {ECO:0000269|PubMed:19955174, ECO:0000269|PubMed:23733939}.; </t>
  </si>
  <si>
    <t xml:space="preserve">DISEASE: Mucolipidosis type II (MLII) [MIM:252500]: Fatal, autosomal recessive, lysosomal storage disorder characterized by severe clinical and radiologic features, peculiar fibroblast inclusions, and no excessive mucopolysacchariduria. Congenital dislocation of the hip, thoracic deformities, hernia, and hyperplastic gums are evident soon after birth. {ECO:0000269|PubMed:16200072, ECO:0000269|PubMed:16835905, ECO:0000269|PubMed:19197337, ECO:0000269|PubMed:19617216, ECO:0000269|PubMed:19634183, ECO:0000269|PubMed:19938078, ECO:0000269|PubMed:22495880, ECO:0000269|PubMed:23566849, ECO:0000269|PubMed:23733939, ECO:0000269|PubMed:23773965, ECO:0000269|PubMed:24375680, ECO:0000269|PubMed:24798265, ECO:0000269|PubMed:25505245, ECO:0000269|PubMed:25788519}. Note=The disease is caused by mutations affecting the gene represented in this entry.; DISEASE: Mucolipidosis type III complementation group A (MLIIIA) [MIM:252600]: Autosomal recessive disease of lysosomal enzyme targeting. Clinically MLIII is characterized by restricted joint mobility, skeletal dysplasia, and short stature. Mildly coarsened facial features and thickening of the skin have been described. Cardiac valvular disease and corneal clouding may also occur. Half of the reported patients show learning disabilities or mental retardation. {ECO:0000269|PubMed:16094673, ECO:0000269|PubMed:16465621, ECO:0000269|PubMed:16630736, ECO:0000269|PubMed:17034777, ECO:0000269|PubMed:19197337, ECO:0000269|PubMed:19617216, ECO:0000269|PubMed:19634183, ECO:0000269|PubMed:19938078, ECO:0000269|PubMed:23566849, ECO:0000269|PubMed:24045841, ECO:0000269|PubMed:24375680, ECO:0000269|PubMed:24550498, ECO:0000269|PubMed:25505245, ECO:0000269|PubMed:25788519}. Note=The disease is caused by mutations affecting the gene represented in this entry.; DISEASE: Note=Defects in GNPTAB have been suggested to play a role in susceptibility to persistent stuttering. Stuttering is a common speech disorder characterized by repetitions, prolongations, and interruptions in the flow of speech. {ECO:0000269|PubMed:20147709}.; </t>
  </si>
  <si>
    <t xml:space="preserve">58.60</t>
  </si>
  <si>
    <t xml:space="preserve">23</t>
  </si>
  <si>
    <t xml:space="preserve">18,5</t>
  </si>
  <si>
    <t xml:space="preserve">NM_001111284:c.*5296_*5297insT;NM_001111283:c.*5330_*5331insT;NM_000618:c.*5296_*5297insT;ENST00000456098:c.*5330_*5331insT;ENST00000337514:c.*5296_*5297insT</t>
  </si>
  <si>
    <t xml:space="preserve">0.469523496452965</t>
  </si>
  <si>
    <t xml:space="preserve">insulin like growth factor 1</t>
  </si>
  <si>
    <t xml:space="preserve">FUNCTION: The insulin-like growth factors, isolated from plasma, are structurally and functionally related to insulin but have a much higher growth-promoting activity. May be a physiological regulator of [1-14C]-2-deoxy-D-glucose (2DG) transport and glycogen synthesis in osteoblasts. Stimulates glucose transport in rat bone-derived osteoblastic (PyMS) cells and is effective at much lower concentrations than insulin, not only regarding glycogen and DNA synthesis but also with regard to enhancing glucose uptake. May play a role in synapse maturation. {ECO:0000269|PubMed:21076856, ECO:0000269|PubMed:24132240}.; </t>
  </si>
  <si>
    <t xml:space="preserve">DISEASE: Insulin-like growth factor I deficiency (IGF1 deficiency) [MIM:608747]: Autosomal recessive disorder characterized by growth retardation, sensorineural deafness and mental retardation. {ECO:0000269|PubMed:8857020}. Note=The disease is caused by mutations affecting the gene represented in this entry.; </t>
  </si>
  <si>
    <t xml:space="preserve">149.64</t>
  </si>
  <si>
    <t xml:space="preserve">2,4</t>
  </si>
  <si>
    <t xml:space="preserve">0.0608721865653384</t>
  </si>
  <si>
    <t xml:space="preserve">Rab interacting lysosomal protein like 2</t>
  </si>
  <si>
    <t xml:space="preserve">FUNCTION: Involved in cell shape and neuronal morphogenesis, positively regulating the establishment and maintenance of dendritic spines. Plays a role in cellular protein transport, including protein transport away from primary cilia. May function via activation of RAC1 and PAK1 (By similarity). {ECO:0000250}.; </t>
  </si>
  <si>
    <t xml:space="preserve">458.64</t>
  </si>
  <si>
    <t xml:space="preserve">27,19</t>
  </si>
  <si>
    <t xml:space="preserve">1.97189619737225e-08</t>
  </si>
  <si>
    <t xml:space="preserve">intraflagellar transport 88</t>
  </si>
  <si>
    <t xml:space="preserve">FUNCTION: Involved in primary cilium biogenesis. Also involved in autophagy since it is required for trafficking of ATG16L and the expansion of the autophagic compartment (By similarity). {ECO:0000250}.; </t>
  </si>
  <si>
    <t xml:space="preserve">191.60</t>
  </si>
  <si>
    <t xml:space="preserve">60,16</t>
  </si>
  <si>
    <t xml:space="preserve">NM_015057:exon36:c.5341-2-&gt;T;uc021rks.1:exon36:c.5341-2-&gt;T;uc010aev.3:exon36:c.3439-2-&gt;T;ENST00000407578:exon36:c.5341-2-&gt;T;ENST00000544440:exon36:c.5227-2-&gt;T;ENST00000357337:exon37:c.5227-2-&gt;T;ENST00000360084:exon37:UTR5</t>
  </si>
  <si>
    <t xml:space="preserve">MYC binding protein 2, E3 ubiquitin protein ligase</t>
  </si>
  <si>
    <t xml:space="preserve">FUNCTION: E3 ubiquitin-protein ligase which mediates ubiquitination and subsequent proteasomal degradation of TSC2/tuberin. Interacts with the E2 enzymes UBE2D1, UBE2D3 and UBE2L3 (in vitro). May function as a facilitator or regulator of transcriptional activation by MYC. May have a role during synaptogenesis. {ECO:0000269|PubMed:18308511}.; </t>
  </si>
  <si>
    <t xml:space="preserve">124.64</t>
  </si>
  <si>
    <t xml:space="preserve">0.751141211279106</t>
  </si>
  <si>
    <t xml:space="preserve">G2/M-phase specific E3 ubiquitin protein ligase</t>
  </si>
  <si>
    <t xml:space="preserve">FUNCTION: E3 ubiquitin-protein ligase which accepts ubiquitin from an E2 ubiquitin-conjugating enzyme in the form of a thioester and then directly transfers the ubiquitin to targeted substrates. Essential in early embryonic development to prevent apoptotic death. {ECO:0000269|PubMed:18511420}.; </t>
  </si>
  <si>
    <t xml:space="preserve">133.64</t>
  </si>
  <si>
    <t xml:space="preserve">8,5</t>
  </si>
  <si>
    <t xml:space="preserve">NM_173607:c.-145C&gt;T;NM_001289022:c.-214C&gt;T</t>
  </si>
  <si>
    <t xml:space="preserve">0.00206788278490877</t>
  </si>
  <si>
    <t xml:space="preserve">family with sequence similarity 177 member A1</t>
  </si>
  <si>
    <t xml:space="preserve">427.64</t>
  </si>
  <si>
    <t xml:space="preserve">45</t>
  </si>
  <si>
    <t xml:space="preserve">30,15</t>
  </si>
  <si>
    <t xml:space="preserve">0.00522692652830377</t>
  </si>
  <si>
    <t xml:space="preserve">cell growth regulator with ring finger domain 1</t>
  </si>
  <si>
    <t xml:space="preserve">FUNCTION: Able to inhibit growth in several cell lines. {ECO:0000250}.; </t>
  </si>
  <si>
    <t xml:space="preserve">933.64</t>
  </si>
  <si>
    <t xml:space="preserve">38,37</t>
  </si>
  <si>
    <t xml:space="preserve">0.00969257412732057</t>
  </si>
  <si>
    <t xml:space="preserve">solute carrier family 35 member F4</t>
  </si>
  <si>
    <t xml:space="preserve">FUNCTION: Putative solute transporter. {ECO:0000305}.; </t>
  </si>
  <si>
    <t xml:space="preserve">323.64</t>
  </si>
  <si>
    <t xml:space="preserve">27</t>
  </si>
  <si>
    <t xml:space="preserve">14,13</t>
  </si>
  <si>
    <t xml:space="preserve">0.980689532418508</t>
  </si>
  <si>
    <t xml:space="preserve">hypoxia inducible factor 1 alpha subunit</t>
  </si>
  <si>
    <t xml:space="preserve">FUNCTION: Functions as a master transcriptional regulator of the adaptive response to hypoxia. Under hypoxic conditions, activates the transcription of over 40 genes, including erythropoietin, glucose transporters, glycolytic enzymes, vascular endothelial growth factor, HILPDA, and other genes whose protein products increase oxygen delivery or facilitate metabolic adaptation to hypoxia. Plays an essential role in embryonic vascularization, tumor angiogenesis and pathophysiology of ischemic disease. Binds to core DNA sequence 5'-[AG]CGTG-3' within the hypoxia response element (HRE) of target gene promoters. Activation requires recruitment of transcriptional coactivators such as CREBPB and EP300. Activity is enhanced by interaction with both, NCOA1 or NCOA2. Interaction with redox regulatory protein APEX seems to activate CTAD and potentiates activation by NCOA1 and CREBBP. Involved in the axonal distribution and transport of mitochondria in neurons during hypoxia. {ECO:0000269|PubMed:11292861, ECO:0000269|PubMed:11566883, ECO:0000269|PubMed:15465032, ECO:0000269|PubMed:16543236, ECO:0000269|PubMed:16973622, ECO:0000269|PubMed:17610843, ECO:0000269|PubMed:19528298, ECO:0000269|PubMed:20624928, ECO:0000269|PubMed:22009797, ECO:0000269|PubMed:9887100}.; </t>
  </si>
  <si>
    <t xml:space="preserve">371.64</t>
  </si>
  <si>
    <t xml:space="preserve">7,11</t>
  </si>
  <si>
    <t xml:space="preserve">2;2</t>
  </si>
  <si>
    <t xml:space="preserve">pecanex homolog 1 (Drosophila)</t>
  </si>
  <si>
    <t xml:space="preserve">163.64</t>
  </si>
  <si>
    <t xml:space="preserve">5,5</t>
  </si>
  <si>
    <t xml:space="preserve">432.64</t>
  </si>
  <si>
    <t xml:space="preserve">19</t>
  </si>
  <si>
    <t xml:space="preserve">6,13</t>
  </si>
  <si>
    <t xml:space="preserve">0.948515859986564</t>
  </si>
  <si>
    <t xml:space="preserve">tectonin beta-propeller repeat containing 2</t>
  </si>
  <si>
    <t xml:space="preserve">FUNCTION: Probably plays a role as positive regulator of autophagy. {ECO:0000269|PubMed:23176824}.; </t>
  </si>
  <si>
    <t xml:space="preserve">422.64</t>
  </si>
  <si>
    <t xml:space="preserve">7,12</t>
  </si>
  <si>
    <t xml:space="preserve">0.999576243958304</t>
  </si>
  <si>
    <t xml:space="preserve">small nucleolar RNA host gene 14;ubiquitin protein ligase E3A</t>
  </si>
  <si>
    <t xml:space="preserve">FUNCTION: E3 ubiquitin-protein ligase which accepts ubiquitin from an E2 ubiquitin-conjugating enzyme in the form of a thioester and transfers it to its substrates. Several substrates have been identified including the RAD23A and RAD23B, MCM7 (which is involved in DNA replication), annexin A1, the PML tumor suppressor, and the cell cycle regulator CDKN1B. Catalyzes the high-risk human papilloma virus E6-mediated ubiquitination of p53/TP53, contributing to the neoplastic progression of cells infected by these viruses. Additionally, may function as a cellular quality control ubiquitin ligase by helping the degradation of the cytoplasmic misfolded proteins. Finally, UBE3A also promotes its own degradation in vivo. Plays an important role in the regulation of the circadian clock: involved in the ubiquitination of the core clock component ARNTL/BMAL1, leading to its proteasomal degradation (PubMed:24728990). {ECO:0000269|PubMed:10373495, ECO:0000269|PubMed:19204938, ECO:0000269|PubMed:19233847, ECO:0000269|PubMed:19325566, ECO:0000269|PubMed:19591933, ECO:0000269|PubMed:22645313, ECO:0000269|PubMed:24728990}.; </t>
  </si>
  <si>
    <t xml:space="preserve">DISEASE: Angelman syndrome (AS) [MIM:105830]: A neurodevelopmental disorder characterized by severe motor and intellectual retardation, ataxia, frequent jerky limb movements and flapping of the arms and hands, hypotonia, seizures, absence of speech, frequent smiling and episodes of paroxysmal laughter, open-mouthed expression revealing the tongue. {ECO:0000269|PubMed:25212744, ECO:0000269|PubMed:9585605}. Note=The disease is caused by mutations affecting the gene represented in this entry.; </t>
  </si>
  <si>
    <t xml:space="preserve">89.64</t>
  </si>
  <si>
    <t xml:space="preserve">6,4</t>
  </si>
  <si>
    <t xml:space="preserve">645.02</t>
  </si>
  <si>
    <t xml:space="preserve">2,16,7</t>
  </si>
  <si>
    <t xml:space="preserve">exonic;ncRNA_exonic</t>
  </si>
  <si>
    <t xml:space="preserve">LOC283710:NM_001243538:exon2:c.75delC:p.R26Gfs*101;LOC283710:uc021sib.1:exon2:c.75delC:p.R26Gfs*101</t>
  </si>
  <si>
    <t xml:space="preserve">195.64</t>
  </si>
  <si>
    <t xml:space="preserve">6,6</t>
  </si>
  <si>
    <t xml:space="preserve">StAR related lipid transfer domain containing 9</t>
  </si>
  <si>
    <t xml:space="preserve">FUNCTION: Microtubule-dependent motor protein required for spindle pole assembly during mitosis. Required to stabilize the pericentriolar material (PCM). {ECO:0000269|PubMed:22153075}.; </t>
  </si>
  <si>
    <t xml:space="preserve">174.60</t>
  </si>
  <si>
    <t xml:space="preserve">140</t>
  </si>
  <si>
    <t xml:space="preserve">116,24</t>
  </si>
  <si>
    <t xml:space="preserve">NM_001330326:exon2:c.50-2-&gt;T;NM_015617:exon2:c.50-2-&gt;T;NM_001367806:exon2:c.50-2-&gt;T;uc010bfl.1:exon2:c.50-2-&gt;T;uc002adf.1:exon2:c.50-2-&gt;T;ENST00000302000:exon2:c.50-2-&gt;T;ENST00000563719:exon2:c.50-2-&gt;T</t>
  </si>
  <si>
    <t xml:space="preserve">0.956651521929469</t>
  </si>
  <si>
    <t xml:space="preserve">pygopus family PHD finger 1</t>
  </si>
  <si>
    <t xml:space="preserve">FUNCTION: Involved in signal transduction through the Wnt pathway.; </t>
  </si>
  <si>
    <t xml:space="preserve">139.60</t>
  </si>
  <si>
    <t xml:space="preserve">65,18</t>
  </si>
  <si>
    <t xml:space="preserve">NM_001329607:exon12:c.1215-2-&gt;T;NM_001329605:exon13:c.1326-2-&gt;T;uc002ang.1:exon11:c.1215-2-&gt;T;uc002anh.1:exon13:c.1326-2-&gt;T;ENST00000607537:exon13:c.1326-2-&gt;T</t>
  </si>
  <si>
    <t xml:space="preserve">0.999715378765103</t>
  </si>
  <si>
    <t xml:space="preserve">casein kinase 1 gamma 1</t>
  </si>
  <si>
    <t xml:space="preserve">FUNCTION: Serine/threonine-protein kinase. Casein kinases are operationally defined by their preferential utilization of acidic proteins such as caseins as substrates. It can phosphorylate a large number of proteins. Participates in Wnt signaling. Regulates fast synaptic transmission mediated by glutamate (By similarity). Phosphorylates CLSPN. {ECO:0000250, ECO:0000269|PubMed:21680713}.; </t>
  </si>
  <si>
    <t xml:space="preserve">768.02</t>
  </si>
  <si>
    <t xml:space="preserve">42</t>
  </si>
  <si>
    <t xml:space="preserve">4,31,7</t>
  </si>
  <si>
    <t xml:space="preserve">UTR5;ncRNA_exonic</t>
  </si>
  <si>
    <t xml:space="preserve">uc010urq.2:c.-48del-;uc002bul.3:c.-48del-;uc010bon.3:c.-48del-;ENST00000268035:c.-48del-;ENST00000558762:c.-48del-</t>
  </si>
  <si>
    <t xml:space="preserve">2;1</t>
  </si>
  <si>
    <t xml:space="preserve">0.552974259646112</t>
  </si>
  <si>
    <t xml:space="preserve">IGF1R antisense imprinted non-protein coding RNA;insulin like growth factor 1 receptor</t>
  </si>
  <si>
    <t xml:space="preserve">FUNCTION: Receptor tyrosine kinase which mediates actions of insulin-like growth factor 1 (IGF1). Binds IGF1 with high affinity and IGF2 and insulin (INS) with a lower affinity. The activated IGF1R is involved in cell growth and survival control. IGF1R is crucial for tumor transformation and survival of malignant cell. Ligand binding activates the receptor kinase, leading to receptor autophosphorylation, and tyrosines phosphorylation of multiple substrates, that function as signaling adapter proteins including, the insulin-receptor substrates (IRS1/2), Shc and 14-3-3 proteins. Phosphorylation of IRSs proteins lead to the activation of two main signaling pathways: the PI3K-AKT/PKB pathway and the Ras-MAPK pathway. The result of activating the MAPK pathway is increased cellular proliferation, whereas activating the PI3K pathway inhibits apoptosis and stimulates protein synthesis. Phosphorylated IRS1 can activate the 85 kDa regulatory subunit of PI3K (PIK3R1), leading to activation of several downstream substrates, including protein AKT/PKB. AKT phosphorylation, in turn, enhances protein synthesis through mTOR activation and triggers the antiapoptotic effects of IGFIR through phosphorylation and inactivation of BAD. In parallel to PI3K- driven signaling, recruitment of Grb2/SOS by phosphorylated IRS1 or Shc leads to recruitment of Ras and activation of the ras-MAPK pathway. In addition to these two main signaling pathways IGF1R signals also through the Janus kinase/signal transducer and activator of transcription pathway (JAK/STAT). Phosphorylation of JAK proteins can lead to phosphorylation/activation of signal transducers and activators of transcription (STAT) proteins. In particular activation of STAT3, may be essential for the transforming activity of IGF1R. The JAK/STAT pathway activates gene transcription and may be responsible for the transforming activity. JNK kinases can also be activated by the IGF1R. IGF1 exerts inhibiting activities on JNK activation via phosphorylation and inhibition of MAP3K5/ASK1, which is able to directly associate with the IGF1R.; </t>
  </si>
  <si>
    <t xml:space="preserve">DISEASE: Insulin-like growth factor 1 resistance (IGF1RES) [MIM:270450]: A disorder characterized by intrauterine growth retardation, poor postnatal growth and increased plasma IGF1 levels. {ECO:0000269|PubMed:14657428, ECO:0000269|PubMed:15928254}. Note=The disease is caused by mutations affecting the gene represented in this entry.; </t>
  </si>
  <si>
    <t xml:space="preserve">1498.02</t>
  </si>
  <si>
    <t xml:space="preserve">105</t>
  </si>
  <si>
    <t xml:space="preserve">20,42,43</t>
  </si>
  <si>
    <t xml:space="preserve">NM_001291858:c.*5773delT;NM_000875:c.*5773delT;uc002bul.3:c.*5773delT;uc010bon.3:c.*5773delT</t>
  </si>
  <si>
    <t xml:space="preserve">insulin like growth factor 1 receptor</t>
  </si>
  <si>
    <t xml:space="preserve">170.64</t>
  </si>
  <si>
    <t xml:space="preserve">15</t>
  </si>
  <si>
    <t xml:space="preserve">9,6</t>
  </si>
  <si>
    <t xml:space="preserve">0.999999565958546</t>
  </si>
  <si>
    <t xml:space="preserve">KIAA0430</t>
  </si>
  <si>
    <t xml:space="preserve">FUNCTION: Essential regulator of oogenesis required for female meiotic progression to repress transposable elements and preventing their mobilization, which is essential for the germline integrity. Probably acts via some RNA metabolic process, equivalent to the piRNA system in males, which mediates the repression of transposable elements during meiosis by forming complexes composed of RNAs and governs the methylation and subsequent repression of transposons. Also required to protect from DNA double-strand breaks (By similarity). {ECO:0000250}.; </t>
  </si>
  <si>
    <t xml:space="preserve">120.64</t>
  </si>
  <si>
    <t xml:space="preserve">5</t>
  </si>
  <si>
    <t xml:space="preserve">1,4</t>
  </si>
  <si>
    <t xml:space="preserve">0.994120613063786</t>
  </si>
  <si>
    <t xml:space="preserve">polo like kinase 1</t>
  </si>
  <si>
    <t xml:space="preserve">FUNCTION: Serine/threonine-protein kinase that performs several important functions throughout M phase of the cell cycle, including the regulation of centrosome maturation and spindle assembly, the removal of cohesins from chromosome arms, the inactivation of anaphase-promoting complex/cyclosome (APC/C) inhibitors, and the regulation of mitotic exit and cytokinesis. Polo-like kinase proteins acts by binding and phosphorylating proteins are that already phosphorylated on a specific motif recognized by the POLO box domains. Phosphorylates BORA, BUB1B/BUBR1, CCNB1, CDC25C, CEP55, ECT2, ERCC6L, FBXO5/EMI1, FOXM1, KIF20A/MKLP2, CENPU, NEDD1, NINL, NPM1, NUDC, PKMYT1/MYT1, KIZ, PPP1R12A/MYPT1, PRC1, RACGAP1/CYK4, SGOL1, STAG2/SA2, TEX14, TOPORS, p73/TP73, TPT1 and WEE1. Plays a key role in centrosome functions and the assembly of bipolar spindles by phosphorylating KIZ, NEDD1 and NINL. NEDD1 phosphorylation promotes subsequent targeting of the gamma-tubulin ring complex (gTuRC) to the centrosome, an important step for spindle formation. Phosphorylation of NINL component of the centrosome leads to NINL dissociation from other centrosomal proteins. Involved in mitosis exit and cytokinesis by phosphorylating CEP55, ECT2, KIF20A/MKLP2, CENPU, PRC1 and RACGAP1. Recruited at the central spindle by phosphorylating and docking PRC1 and KIF20A/MKLP2; creates its own docking sites on PRC1 and KIF20A/MKLP2 by mediating phosphorylation of sites subsequently recognized by the POLO box domains. Phosphorylates RACGAP1, thereby creating a docking site for the Rho GTP exchange factor ECT2 that is essential for the cleavage furrow formation. Promotes the central spindle recruitment of ECT2. Plays a central role in G2/M transition of mitotic cell cycle by phosphorylating CCNB1, CDC25C, FOXM1, CENPU, PKMYT1/MYT1, PPP1R12A/MYPT1 and WEE1. Part of a regulatory circuit that promotes the activation of CDK1 by phosphorylating the positive regulator CDC25C and inhibiting the negative regulators WEE1 and PKMYT1/MYT1. Also acts by mediating phosphorylation of cyclin-B1 (CCNB1) on centrosomes in prophase. Phosphorylates FOXM1, a key mitotic transcription regulator, leading to enhance FOXM1 transcriptional activity. Involved in kinetochore functions and sister chromatid cohesion by phosphorylating BUB1B/BUBR1, FBXO5/EMI1 and STAG2/SA2. PLK1 is high on non-attached kinetochores suggesting a role of PLK1 in kinetochore attachment or in spindle assembly checkpoint (SAC) regulation. Required for kinetochore localization of BUB1B. Regulates the dissociation of cohesin from chromosomes by phosphorylating cohesin subunits such as STAG2/SA2. Phosphorylates SGOL1: required for spindle pole localization of isoform 3 of SGOL1 and plays a role in regulating its centriole cohesion function. Mediates phosphorylation of FBXO5/EMI1, a negative regulator of the APC/C complex during prophase, leading to FBXO5/EMI1 ubiquitination and degradation by the proteasome. Acts as a negative regulator of p53 family members: phosphorylates TOPORS, leading to inhibit the sumoylation of p53/TP53 and simultaneously enhance the ubiquitination and subsequent degradation of p53/TP53. Phosphorylates the transactivation domain of the transcription factor p73/TP73, leading to inhibit p73/TP73-mediated transcriptional activation and pro-apoptotic functions. Phosphorylates BORA, and thereby promotes the degradation of BORA. Contributes to the regulation of AURKA function. Also required for recovery after DNA damage checkpoint and entry into mitosis. Phosphorylates MISP, leading to stabilization of cortical and astral microtubule attachments required for proper spindle positioning (PubMed:8991084, PubMed:11202906, PubMed:12207013, PubMed:12447691, PubMed:12524548, PubMed:12738781, PubMed:12852856, PubMed:12939256, PubMed:14532005, PubMed:14734534, PubMed:15070733, PubMed:15148369, PubMed:15469984, PubMed:16198290, PubMed:16247472, PubMed:16980960, PubMed:17081991, PubMed:17351640, PubMed:17376779, PubMed:17617734, PubMed:18174154, PubMed:18331714, PubMed:18418051, PubMed:18477460, PubMed:18521620, PubMed:18615013, PubMed:19160488, PubMed:19351716, PubMed:19468300, PubMed:19468302, PubMed:19473992, PubMed:19509060, PubMed:19597481, PubMed:23455478, PubMed:23509069). Together with MEIKIN, acts as a regulator of kinetochore function during meiosis I: required both for mono- orientation of kinetochores on sister chromosomes and protection of centromeric cohesin from separase-mediated cleavage (By similarity). Phosphorylates CEP68 and is required for its degradation (PubMed:25503564). {ECO:0000250|UniProtKB:Q5F2C3, ECO:0000269|PubMed:11202906, ECO:0000269|PubMed:12207013, ECO:0000269|PubMed:12447691, ECO:0000269|PubMed:12524548, ECO:0000269|PubMed:12738781, ECO:0000269|PubMed:12852856, ECO:0000269|PubMed:12939256, ECO:0000269|PubMed:14532005, ECO:0000269|PubMed:14734534, ECO:0000269|PubMed:15070733, ECO:0000269|PubMed:15148369, ECO:0000269|PubMed:15469984, ECO:0000269|PubMed:16198290, ECO:0000269|PubMed:16247472, ECO:0000269|PubMed:16980960, ECO:0000269|PubMed:17081991, ECO:0000269|PubMed:17351640, ECO:0000269|PubMed:17376779, ECO:0000269|PubMed:17617734, ECO:0000269|PubMed:18174154, ECO:0000269|PubMed:18331714, ECO:0000269|PubMed:18418051, ECO:0000269|PubMed:18477460, ECO:0000269|PubMed:18521620, ECO:0000269|PubMed:18615013, ECO:0000269|PubMed:19160488, ECO:0000269|PubMed:19351716, ECO:0000269|PubMed:19468300, ECO:0000269|PubMed:19468302, ECO:0000269|PubMed:19473992, ECO:0000269|PubMed:19509060, ECO:0000269|PubMed:19597481, ECO:0000269|PubMed:23455478, ECO:0000269|PubMed:23509069, ECO:0000269|PubMed:25503564, ECO:0000269|PubMed:8991084}.; </t>
  </si>
  <si>
    <t xml:space="preserve">DISEASE: Note=Defects in PLK1 are associated with some cancers, such as gastric, thyroid or B-cell lymphomas. Expression is cancer increased in tumor tissues with a poor prognosis, suggesting a role in malignant transformations and carcinogenesis.; </t>
  </si>
  <si>
    <t xml:space="preserve">CACACTC</t>
  </si>
  <si>
    <t xml:space="preserve">465.60</t>
  </si>
  <si>
    <t xml:space="preserve">40</t>
  </si>
  <si>
    <t xml:space="preserve">25,15</t>
  </si>
  <si>
    <t xml:space="preserve">exonic;ncRNA_intronic</t>
  </si>
  <si>
    <t xml:space="preserve">NPIPB12:NM_001355401:exon8:c.859_865del:p.E287Cfs*172;ENSG00000169203:ENST00000354563:exon3:c.337_343del:p.E113Cfs*172,ENSG00000169203:ENST00000550665:exon8:c.859_865del:p.E287Cfs*172</t>
  </si>
  <si>
    <t xml:space="preserve">GGAGGTGTCTTGAGATTATCATCCGCTGAGGGTGGAAGGGGAGTGAGCAC</t>
  </si>
  <si>
    <t xml:space="preserve">449.60</t>
  </si>
  <si>
    <t xml:space="preserve">29,15</t>
  </si>
  <si>
    <t xml:space="preserve">NPIPB12:NM_001355401:exon8:c.808_857del:p.V270Rfs*13;ENSG00000169203:ENST00000354563:exon3:c.286_335del:p.V96Rfs*13,ENSG00000169203:ENST00000550665:exon8:c.808_857del:p.V270Rfs*13</t>
  </si>
  <si>
    <t xml:space="preserve">834.64</t>
  </si>
  <si>
    <t xml:space="preserve">38,31</t>
  </si>
  <si>
    <t xml:space="preserve">0.999963786341319</t>
  </si>
  <si>
    <t xml:space="preserve">FUS RNA binding protein</t>
  </si>
  <si>
    <t xml:space="preserve">FUNCTION: Binds both single-stranded and double-stranded DNA and promotes ATP-independent annealing of complementary single- stranded DNAs and D-loop formation in superhelical double-stranded DNA. May play a role in maintenance of genomic integrity.; </t>
  </si>
  <si>
    <t xml:space="preserve">DISEASE: Note=A chromosomal aberration involving FUS is found in a patient with malignant myxoid liposarcoma. Translocation t(12;16)(q13;p11) with DDIT3. {ECO:0000269|PubMed:7503811}.; DISEASE: Note=A chromosomal aberration involving FUS is a cause of acute myeloid leukemia (AML). Translocation t(16;21)(p11;q22) with ERG. {ECO:0000269|PubMed:8187069}.; DISEASE: Angiomatoid fibrous histiocytoma (AFH) [MIM:612160]: A distinct variant of malignant fibrous histiocytoma that typically occurs in children and adolescents and is manifest by nodular subcutaneous growth. Characteristic microscopic features include lobulated sheets of histiocyte-like cells intimately associated with areas of hemorrhage and cystic pseudovascular spaces, as well as a striking cuffing of inflammatory cells, mimicking a lymph node metastasis. {ECO:0000269|PubMed:11063792}. Note=The gene represented in this entry is involved in disease pathogenesis. A chromosomal aberration involving FUS is found in a patient with angiomatoid fibrous histiocytoma. Translocation t(12;16)(q13;p11.2) with ATF1 generates a chimeric FUS/ATF1 protein. {ECO:0000269|PubMed:11063792}.; DISEASE: Amyotrophic lateral sclerosis 6, with or without frontotemporal dementia (ALS6) [MIM:608030]: A neurodegenerative disorder affecting upper motor neurons in the brain and lower motor neurons in the brain stem and spinal cord, resulting in fatal paralysis. Sensory abnormalities are absent. The pathologic hallmarks of the disease include pallor of the corticospinal tract due to loss of motor neurons, presence of ubiquitin-positive inclusions within surviving motor neurons, and deposition of pathologic aggregates. The etiology of amyotrophic lateral sclerosis is likely to be multifactorial, involving both genetic and environmental factors. The disease is inherited in 5-10% of the cases. {ECO:0000269|PubMed:19251627, ECO:0000269|PubMed:19251628, ECO:0000269|PubMed:19861302, ECO:0000269|PubMed:20124201}. Note=The disease is caused by mutations affecting the gene represented in this entry.; DISEASE: Tremor, hereditary essential 4 (ETM4) [MIM:614782]: A common movement disorder mainly characterized by postural tremor of the arms. Head, legs, trunk, voice, jaw, and facial muscles also may be involved. The condition can be aggravated by emotions, hunger, fatigue and temperature extremes, and may cause a functional disability or even incapacitation. Inheritance is autosomal dominant. {ECO:0000269|PubMed:22863194}. Note=The disease is caused by mutations affecting the gene represented in this entry.; </t>
  </si>
  <si>
    <t xml:space="preserve">1668.64</t>
  </si>
  <si>
    <t xml:space="preserve">61,63</t>
  </si>
  <si>
    <t xml:space="preserve">1.90378758487526e-07</t>
  </si>
  <si>
    <t xml:space="preserve">NEDD8 activating enzyme E1 subunit 1</t>
  </si>
  <si>
    <t xml:space="preserve">FUNCTION: Regulatory subunit of the dimeric UBA3-NAE1 E1 enzyme. E1 activates NEDD8 by first adenylating its C-terminal glycine residue with ATP, thereafter linking this residue to the side chain of the catalytic cysteine, yielding a NEDD8-UBA3 thioester and free AMP. E1 finally transfers NEDD8 to the catalytic cysteine of UBE2M. Necessary for cell cycle progression through the S-M checkpoint. Overexpression of NAE1 causes apoptosis through deregulation of NEDD8 conjugation. {ECO:0000269|PubMed:10207026, ECO:0000269|PubMed:10722740, ECO:0000269|PubMed:12740388}.; </t>
  </si>
  <si>
    <t xml:space="preserve">79.64</t>
  </si>
  <si>
    <t xml:space="preserve">0.0223533069911047</t>
  </si>
  <si>
    <t xml:space="preserve">RGD motif, leucine rich repeats, tropomodulin domain and proline-rich containing</t>
  </si>
  <si>
    <t xml:space="preserve">2563.60</t>
  </si>
  <si>
    <t xml:space="preserve">179</t>
  </si>
  <si>
    <t xml:space="preserve">96,83</t>
  </si>
  <si>
    <t xml:space="preserve">HYDIN:NM_001270974:exon69:c.11712delT:p.Q3905Rfs*5;HYDIN:uc031qwy.1:exon69:c.11712delT:p.Q3905Rfs*5;ENSG00000157423:ENST00000393567:exon69:c.11712delT:p.Q3905Rfs*5</t>
  </si>
  <si>
    <t xml:space="preserve">HYDIN, axonemal central pair apparatus protein</t>
  </si>
  <si>
    <t xml:space="preserve">FUNCTION: Required for ciliary motility. {ECO:0000250}.; </t>
  </si>
  <si>
    <t xml:space="preserve">DISEASE: Ciliary dyskinesia, primary, 5 (CILD5) [MIM:608647]: An autosomal recessive form of primary dyskinesia,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CILD5 is characterized by early onset of a progressive decline in lung function due to an inability to clear mucus and particles from the airways. Affected individuals have recurrent infections of the sinuses, ears, airways, and lungs. Sperm motility is also decreased. Individuals with CILD5 do not have situs inversus. {ECO:0000269|PubMed:23022101, ECO:0000269|PubMed:25186273}. Note=The disease is caused by mutations affecting the gene represented in this entry.; </t>
  </si>
  <si>
    <t xml:space="preserve">153.64</t>
  </si>
  <si>
    <t xml:space="preserve">36</t>
  </si>
  <si>
    <t xml:space="preserve">29,7</t>
  </si>
  <si>
    <t xml:space="preserve">78.64</t>
  </si>
  <si>
    <t xml:space="preserve">20</t>
  </si>
  <si>
    <t xml:space="preserve">13,7</t>
  </si>
  <si>
    <t xml:space="preserve">0.0107231379680564</t>
  </si>
  <si>
    <t xml:space="preserve">carbonic anhydrase VA, mitochondrial</t>
  </si>
  <si>
    <t xml:space="preserve">FUNCTION: Reversible hydration of carbon dioxide. Low activity.; </t>
  </si>
  <si>
    <t xml:space="preserve">DISEASE: Hyperammonemia due to carbonic anhydrase VA deficiency (CA5AD) [MIM:615751]: An autosomal recessive inborn error of metabolism, clinically characterized by infantile hyperammonemic encephalopathy. Metabolic abnormalities include hypoglycemia, hyperlactatemia, metabolic acidosis and respiratory alkalosis. {ECO:0000269|PubMed:24530203}. Note=The disease is caused by mutations affecting the gene represented in this entry.; </t>
  </si>
  <si>
    <t xml:space="preserve">2047.64</t>
  </si>
  <si>
    <t xml:space="preserve">157</t>
  </si>
  <si>
    <t xml:space="preserve">79,78</t>
  </si>
  <si>
    <t xml:space="preserve">NM_002386:c.*731C&gt;G;uc002fpe.4:c.*731C&gt;G</t>
  </si>
  <si>
    <t xml:space="preserve">3.24606043304287e-07</t>
  </si>
  <si>
    <t xml:space="preserve">melanocortin 1 receptor</t>
  </si>
  <si>
    <t xml:space="preserve">FUNCTION: Receptor for MSH (alpha, beta and gamma) and ACTH. The activity of this receptor is mediated by G proteins which activate adenylate cyclase.; </t>
  </si>
  <si>
    <t xml:space="preserve">DISEASE: Melanoma, cutaneous malignant 5 (CMM5) [MIM:613099]: A malignant neoplasm of melanocytes, arising de novo or from a pre- existing benign nevus, which occurs most often in the skin but also may involve other sites. {ECO:0000269|PubMed:17434924, ECO:0000269|PubMed:19338054}. Note=Disease susceptibility is associated with variations affecting the gene represented in this entry.; </t>
  </si>
  <si>
    <t xml:space="preserve">chr17</t>
  </si>
  <si>
    <t xml:space="preserve">485.64</t>
  </si>
  <si>
    <t xml:space="preserve">35</t>
  </si>
  <si>
    <t xml:space="preserve">17,18</t>
  </si>
  <si>
    <t xml:space="preserve">3.89020504800004e-08</t>
  </si>
  <si>
    <t xml:space="preserve">myosin IC</t>
  </si>
  <si>
    <t xml:space="preserve">FUNCTION: Myosins are actin-based motor molecules with ATPase activity. Unconventional myosins serve in intracellular movements. Their highly divergent tails are presumed to bind to membranous compartments, which would be moved relative to actin filaments. Involved in glucose transporter recycling in response to insulin by regulating movement of intracellular GLUT4-containing vesicles to the plasma membrane. Component of the hair cell's (the sensory cells of the inner ear) adaptation-motor complex. Acts as a mediator of adaptation of mechanoelectrical transduction in stereocilia of vestibular hair cells. Binds phosphoinositides and links the actin cytoskeleton to cellular membranes. {ECO:0000269|PubMed:24636949}.; </t>
  </si>
  <si>
    <t xml:space="preserve">456.64</t>
  </si>
  <si>
    <t xml:space="preserve">39</t>
  </si>
  <si>
    <t xml:space="preserve">23,16</t>
  </si>
  <si>
    <t xml:space="preserve">1.76208067122363e-18</t>
  </si>
  <si>
    <t xml:space="preserve">ubiquitin specific peptidase 6</t>
  </si>
  <si>
    <t xml:space="preserve">FUNCTION: Deubiquitinase with an ATP-independent isopeptidase activity, cleaving at the C-terminus of the ubiquitin moiety. Catalyzes its own deubiquitination. In vitro, isoform 2, but not isoform 3, shows deubiquitinating activity. Promotes plasma membrane localization of ARF6 and selectively regulates ARF6- dependent endocytic protein trafficking. Is able to initiate tumorigenesis by inducing the production of matrix metalloproteinases following NF-kappa-B activation. {ECO:0000269|PubMed:15509780, ECO:0000269|PubMed:16127172, ECO:0000269|PubMed:20418905}.; </t>
  </si>
  <si>
    <t xml:space="preserve">DISEASE: Note=A chromosomal aberration involving USP6 is a common genetic feature of aneurysmal bone cyst, a benign osseous neoplasm. Translocation t(16;17)(q22;p13) with CDH11. The translocation generates a fusion gene in which the strong CDH11 promoter is fused to the entire USP6 coding sequence, resulting in USP6 transcriptional up-regulation (PubMed:15026324). {ECO:0000269|PubMed:15026324}.; </t>
  </si>
  <si>
    <t xml:space="preserve">10,5</t>
  </si>
  <si>
    <t xml:space="preserve">0.999999845570262</t>
  </si>
  <si>
    <t xml:space="preserve">neurofibromin 1</t>
  </si>
  <si>
    <t xml:space="preserve">FUNCTION: Stimulates the GTPase activity of Ras. NF1 shows greater affinity for Ras GAP, but lower specific activity. May be a regulator of Ras activity. {ECO:0000269|PubMed:2121371, ECO:0000269|PubMed:8417346}.; </t>
  </si>
  <si>
    <t xml:space="preserve">DISEASE: Neurofibromatosis 1 (NF1) [MIM:162200]: A disease characterized by patches of skin pigmentation (cafe-au-lait spots), Lisch nodules of the iris, tumors in the peripheral nervous system and fibromatous skin tumors. Individuals with the disorder have increased susceptibility to the development of benign and malignant tumors. {ECO:0000269|PubMed:10220149, ECO:0000269|PubMed:10336779, ECO:0000269|PubMed:10607834, ECO:0000269|PubMed:10712197, ECO:0000269|PubMed:10980545, ECO:0000269|PubMed:11258625, ECO:0000269|PubMed:11735023, ECO:0000269|PubMed:11857752, ECO:0000269|PubMed:12522551, ECO:0000269|PubMed:12552569, ECO:0000269|PubMed:12746402, ECO:0000269|PubMed:1302608, ECO:0000269|PubMed:15060124, ECO:0000269|PubMed:15146469, ECO:0000269|PubMed:15520408, ECO:0000269|PubMed:15523642, ECO:0000269|PubMed:15948193, ECO:0000269|PubMed:17160901, ECO:0000269|PubMed:2114220, ECO:0000269|PubMed:21838856, ECO:0000269|PubMed:23758643, ECO:0000269|PubMed:24413922, ECO:0000269|PubMed:7981679, ECO:0000269|PubMed:8081387, ECO:0000269|PubMed:8544190, ECO:0000269|PubMed:8807336, ECO:0000269|PubMed:8834249, ECO:0000269|PubMed:9003501, ECO:0000269|PubMed:9101300, ECO:0000269|PubMed:9150739, ECO:0000269|PubMed:9298829, ECO:0000269|PubMed:9668168}. Note=The disease is caused by mutations affecting the gene represented in this entry.; DISEASE: Leukemia, juvenile myelomonocytic (JMML) [MIM:607785]: An aggressive pediatric myelodysplastic syndrome/myeloproliferative disorder characterized by malignant transformation in the hematopoietic stem cell compartment with proliferation of differentiated progeny. Patients have splenomegaly, enlarged lymph nodes, rashes, and hemorrhages. Note=The disease is caused by mutations affecting the gene represented in this entry.; DISEASE: Watson syndrome (WTSN) [MIM:193520]: A syndrome characterized by the presence of pulmonary stenosis, cafe-au-lait spots, and mental retardation. It is considered as an atypical form of neurofibromatosis. Note=The disease is caused by mutations affecting the gene represented in this entry.; DISEASE: Familial spinal neurofibromatosis (FSNF) [MIM:162210]: Considered to be an alternative form of neurofibromatosis, showing multiple spinal tumors. {ECO:0000269|PubMed:11704931}. Note=The disease is caused by mutations affecting the gene represented in this entry.; DISEASE: Neurofibromatosis-Noonan syndrome (NFNS) [MIM:601321]: Characterized by manifestations of both NF1 and Noonan syndrome (NS). NS is a disorder characterized by dysmorphic facial features, short stature, hypertelorism, cardiac anomalies, deafness, motor delay, and a bleeding diathesis. {ECO:0000269|PubMed:12707950, ECO:0000269|PubMed:16380919, ECO:0000269|PubMed:19845691}. Note=The disease is caused by mutations affecting the gene represented in this entry.; DISEASE: Colorectal cancer (CRC) [MIM:114500]: A complex disease characterized by malignant lesions arising from the inner wall of the large intestine (the colon) and the rectum. Genetic alterations are often associated with progression from premalignant lesion (adenoma) to invasive adenocarcinoma. Risk factors for cancer of the colon and rectum include colon polyps, long-standing ulcerative colitis, and genetic family history. Note=The gene represented in this entry may be involved in disease pathogenesis.; </t>
  </si>
  <si>
    <t xml:space="preserve">197.64</t>
  </si>
  <si>
    <t xml:space="preserve">3,6</t>
  </si>
  <si>
    <t xml:space="preserve">0.998894657455293</t>
  </si>
  <si>
    <t xml:space="preserve">erb-b2 receptor tyrosine kinase 2</t>
  </si>
  <si>
    <t xml:space="preserve">FUNCTION: Protein tyrosine kinase that is part of several cell surface receptor complexes, but that apparently needs a coreceptor for ligand binding. Essential component of a neuregulin-receptor complex, although neuregulins do not interact with it alone. GP30 is a potential ligand for this receptor. Regulates outgrowth and stabilization of peripheral microtubules (MTs). Upon ERBB2 activation, the MEMO1-RHOA-DIAPH1 signaling pathway elicits the phosphorylation and thus the inhibition of GSK3B at cell membrane. This prevents the phosphorylation of APC and CLASP2, allowing its association with the cell membrane. In turn, membrane-bound APC allows the localization of MACF1 to the cell membrane, which is required for microtubule capture and stabilization.; </t>
  </si>
  <si>
    <t xml:space="preserve">DISEASE: Hereditary diffuse gastric cancer (HDGC) [MIM:137215]: A cancer predisposition syndrome with increased susceptibility to diffuse gastric cancer. Diffuse gastric cancer is a malignant disease characterized by poorly differentiated infiltrating lesions resulting in thickening of the stomach. Malignant tumors start in the stomach, can spread to the esophagus or the small intestine, and can extend through the stomach wall to nearby lymph nodes and organs. It also can metastasize to other parts of the body. Note=The gene represented in this entry is involved in disease pathogenesis.; DISEASE: Glioma (GLM) [MIM:137800]: Gliomas are benign or malignant central nervous system neoplasms derived from glial cells. They comprise astrocytomas and glioblastoma multiforme that are derived from astrocytes, oligodendrogliomas derived from oligodendrocytes and ependymomas derived from ependymocytes. Note=The gene represented in this entry is involved in disease pathogenesis.; DISEASE: Ovarian cancer (OC) [MIM:167000]: The term ovarian cancer defines malignancies originating from ovarian tissue. Although many histologic types of ovarian tumors have been described, epithelial ovarian carcinoma is the most common form. Ovarian cancers are often asymptomatic and the recognized signs and symptoms, even of late-stage disease, are vague. Consequently, most patients are diagnosed with advanced disease. Note=Disease susceptibility is associated with variations affecting the gene represented in this entry.; DISEASE: Lung cancer (LNCR) [MIM:211980]: A common malignancy affecting tissues of the lung. The most common form of lung cancer is non-small cell lung cancer (NSCLC) that can be divided into 3 major histologic subtypes: squamous cell carcinoma, adenocarcinoma, and large cell lung cancer. NSCLC is often diagnosed at an advanced stage and has a poor prognosis. Note=The gene represented in this entry is involved in disease pathogenesis.; DISEASE: Gastric cancer (GASC) [MIM:613659]: A malignant disease which starts in the stomach, can spread to the esophagus or the small intestine, and can extend through the stomach wall to nearby lymph nodes and organs. It also can metastasize to other parts of the body. The term gastric cancer or gastric carcinoma refers to adenocarcinoma of the stomach that accounts for most of all gastric malignant tumors. Two main histologic types are recognized, diffuse type and intestinal type carcinomas. Diffuse tumors are poorly differentiated infiltrating lesions, resulting in thickening of the stomach. In contrast, intestinal tumors are usually exophytic, often ulcerating, and associated with intestinal metaplasia of the stomach, most often observed in sporadic disease. Note=The gene represented in this entry is involved in disease pathogenesis.; DISEASE: Note=Chromosomal aberrations involving ERBB2 may be a cause gastric cancer. Deletions within 17q12 region producing fusion transcripts with CDK12, leading to CDK12-ERBB2 fusion leading to truncated CDK12 protein not in-frame with ERBB2.; </t>
  </si>
  <si>
    <t xml:space="preserve">56.60</t>
  </si>
  <si>
    <t xml:space="preserve">ENSG00000108774:ENST00000551338:exon3:c.450_451del:p.F150Lfs*37</t>
  </si>
  <si>
    <t xml:space="preserve">0.826569532430599</t>
  </si>
  <si>
    <t xml:space="preserve">RAB5C, member RAS oncogene family</t>
  </si>
  <si>
    <t xml:space="preserve">FUNCTION: Protein transport. Probably involved in vesicular traffic (By similarity). {ECO:0000250}.; </t>
  </si>
  <si>
    <t xml:space="preserve">114.64</t>
  </si>
  <si>
    <t xml:space="preserve">56,9</t>
  </si>
  <si>
    <t xml:space="preserve">0.999905920388338</t>
  </si>
  <si>
    <t xml:space="preserve">aminopeptidase puromycin sensitive</t>
  </si>
  <si>
    <t xml:space="preserve">FUNCTION: Aminopeptidase with broad substrate specificity for several peptides. Involved in proteolytic events essential for cell growth and viability. May act as regulator of neuropeptide activity. Plays a role in the antigen-processing pathway for MHC class I molecules. Involved in the N-terminal trimming of cytotoxic T-cell epitope precursors. Digests the poly-Q peptides found in many cellular proteins. Digests tau from normal brain more efficiently than tau from Alzheimer disease brain. {ECO:0000269|PubMed:10978616, ECO:0000269|PubMed:11062501, ECO:0000269|PubMed:17154549, ECO:0000269|PubMed:17318184, ECO:0000269|PubMed:19917696}.; </t>
  </si>
  <si>
    <t xml:space="preserve">610.64</t>
  </si>
  <si>
    <t xml:space="preserve">13,23</t>
  </si>
  <si>
    <t xml:space="preserve">uc002ilw.1:c.-636C&gt;T</t>
  </si>
  <si>
    <t xml:space="preserve">0.181605380199765</t>
  </si>
  <si>
    <t xml:space="preserve">oxysterol binding protein like 7</t>
  </si>
  <si>
    <t xml:space="preserve">10,9</t>
  </si>
  <si>
    <t xml:space="preserve">0.999996517362333</t>
  </si>
  <si>
    <t xml:space="preserve">calcium voltage-gated channel subunit alpha1 G</t>
  </si>
  <si>
    <t xml:space="preserve">FUNCTION: Voltage-sensitive calcium channels (VSCC) mediate the entry of calcium ions into excitable cells and are also involved in a variety of calcium-dependent processes, including muscle contraction, hormone or neurotransmitter release, gene expression, cell motility, cell division and cell death. The isoform alpha-1G gives rise to T-type calcium currents. T-type calcium channels belong to the "low-voltage activated (LVA)" group and are strongly blocked by mibefradil. A particularity of this type of channel is an opening at quite negative potentials and a voltage-dependent inactivation. T-type channels serve pacemaking functions in both central neurons and cardiac nodal cells and support calcium signaling in secretory cells and vascular smooth muscle. They may also be involved in the modulation of firing patterns of neurons which is important for information processing as well as in cell growth processes.; </t>
  </si>
  <si>
    <t xml:space="preserve">489.64</t>
  </si>
  <si>
    <t xml:space="preserve">19,16</t>
  </si>
  <si>
    <t xml:space="preserve">0.928981263851905</t>
  </si>
  <si>
    <t xml:space="preserve">yippee like 2</t>
  </si>
  <si>
    <t xml:space="preserve">93.64</t>
  </si>
  <si>
    <t xml:space="preserve">4,3</t>
  </si>
  <si>
    <t xml:space="preserve">0.99745409892001</t>
  </si>
  <si>
    <t xml:space="preserve">DEAD-box helicase 5</t>
  </si>
  <si>
    <t xml:space="preserve">FUNCTION: Involved in the alternative regulation of pre-mRNA splicing; its RNA helicase activity is necessary for increasing tau exon 10 inclusion and occurs in a RBM4-dependent manner. Binds to the tau pre-mRNA in the stem-loop region downstream of exon 10. The rate of ATP hydrolysis is highly stimulated by single-stranded RNA. Involved in transcriptional regulation; the function is independent of the RNA helicase activity. Transcriptional coactivator for estrogen receptor ESR1 and androgen receptor AR. Increases ESR1 AF-1 domain-mediated transactivation and ESR1 AF-1 and AF-2 domains transcriptional synergistic activity. Synergizes with DDX17 and SRA1 RNA to activate MYOD1 transcriptional activity and involved in skeletal muscle differentiation. Transcriptional coactivator for p53/TP53 and involved in p53/TP53 transcriptional response to DNA damage and p53/TP53-dependent apoptosis. Transcriptional coactivator for RUNX2 and involved in regulation of osteoblast differentiation. Acts as transcriptional repressor in a promoter-specicic manner; the function probbaly involves association with histone deacetylases, such as HDAC1. As component of a large PER complex is involved in the inhibition of 3' transcriptional termination of circadian target genes such as PER1 and NR1D1 and the control of the circadian rhythms. {ECO:0000269|PubMed:10409727, ECO:0000269|PubMed:11250900, ECO:0000269|PubMed:12527917, ECO:0000269|PubMed:15298701, ECO:0000269|PubMed:15660129, ECO:0000269|PubMed:17011493, ECO:0000269|PubMed:17960593, ECO:0000269|PubMed:18829551, ECO:0000269|PubMed:19718048, ECO:0000269|PubMed:21343338}.; </t>
  </si>
  <si>
    <t xml:space="preserve">345.64</t>
  </si>
  <si>
    <t xml:space="preserve">14,12</t>
  </si>
  <si>
    <t xml:space="preserve">uc021ucy.1:c.*393G&gt;A;uc010dge.3:c.*301C&gt;T;uc002jns.4:c.*301C&gt;T;uc002jnv.4:c.*301C&gt;T;uc002jnu.4:c.*301C&gt;T;uc002jnw.4:c.*301C&gt;T;uc002jnt.4:c.*301C&gt;T</t>
  </si>
  <si>
    <t xml:space="preserve">0.929610775752259</t>
  </si>
  <si>
    <t xml:space="preserve">solute carrier family 25 member 19</t>
  </si>
  <si>
    <t xml:space="preserve">FUNCTION: Mitochondrial transporter mediating uptake of thiamine pyrophosphate (ThPP) into mitochondria. {ECO:0000269|PubMed:18280798}.; </t>
  </si>
  <si>
    <t xml:space="preserve">DISEASE: Thiamine metabolism dysfunction syndrome 4, bilateral striatal degeneration and progressive polyneuropathy type (THMD4) [MIM:613710]: A disease characterized by recurrent episodes of flaccid paralysis and encephalopathy associated with bilateral striatal necrosis and chronic progressive polyneuropathy. {ECO:0000269|PubMed:19798730}. Note=The disease is caused by mutations affecting the gene represented in this entry.; </t>
  </si>
  <si>
    <t xml:space="preserve">50.60</t>
  </si>
  <si>
    <t xml:space="preserve">47,10</t>
  </si>
  <si>
    <t xml:space="preserve">0.999999998790609</t>
  </si>
  <si>
    <t xml:space="preserve">structural maintenance of chromosomes flexible hinge domain containing 1</t>
  </si>
  <si>
    <t xml:space="preserve">FUNCTION: Required for maintenance of X inactivation in females and hypermethylation of CpG islands associated with inactive X. Involved in a pathway that mediates the methylation of a subset of CpG islands slowly and requires the de novo methyltransferase DNMT3B (By similarity). Required for DUX4 silencing in somatic cells. {ECO:0000250, ECO:0000269|PubMed:23143600}.; </t>
  </si>
  <si>
    <t xml:space="preserve">DISEASE: Facioscapulohumeral muscular dystrophy 2 (FSHD2) [MIM:158901]: A degenerative muscle disease characterized by slowly progressive weakness of the muscles of the face, upper-arm, and shoulder girdle. The onset of symptoms usually occurs in the first or second decade of life. Affected individuals usually present with impairment of upper extremity elevation. This tends to be followed by facial weakness, primarily involving the orbicularis oris and orbicularis oculi muscles. {ECO:0000269|PubMed:23143600}. Note=The disease is caused by mutations affecting the gene represented in this entry. SMCHD1 mutations lead to DUX4 expression in somatic tissues, including muscle cells, when an haplotype on chromosome 4 is permissive for DUX4 expression. Ectopic expression of DUX4 in skeletal muscle activates the expression of stem cell and germline genes, and, when overexpressed in somatic cells, DUX4 can ultimately lead to cell death.; </t>
  </si>
  <si>
    <t xml:space="preserve">AAA</t>
  </si>
  <si>
    <t xml:space="preserve">923.02</t>
  </si>
  <si>
    <t xml:space="preserve">0,15,12</t>
  </si>
  <si>
    <t xml:space="preserve">0.673512974845848</t>
  </si>
  <si>
    <t xml:space="preserve">lipin 2</t>
  </si>
  <si>
    <t xml:space="preserve">FUNCTION: Plays important roles in controlling the metabolism of fatty acids at differents levels. Acts as a magnesium-dependent phosphatidate phosphatase enzyme which catalyzes the conversion of phosphatidic acid to diacylglycerol during triglyceride, phosphatidylcholine and phosphatidylethanolamine biosynthesis in the reticulum endoplasmic membrane. Acts also as a nuclear transcriptional coactivator for PPARGC1A to modulate lipid metabolism (By similarity). {ECO:0000250}.; </t>
  </si>
  <si>
    <t xml:space="preserve">DISEASE: Majeed syndrome (MAJEEDS) [MIM:609628]: An autosomal recessive syndrome characterized by chronic recurrent multifocal osteomyelitis that is of early onset with a lifelong course, congenital dyserythropoietic anemia that presents as hypochromic, microcytic anemia during the first year of life and ranges from mild to transfusion-dependent, and transient inflammatory dermatosis, often manifesting as Sweet syndrome (neutrophilic skin infiltration). {ECO:0000269|PubMed:15994876}. Note=The disease is caused by mutations affecting the gene represented in this entry.; </t>
  </si>
  <si>
    <t xml:space="preserve">81.64</t>
  </si>
  <si>
    <t xml:space="preserve">0.330091752046804</t>
  </si>
  <si>
    <t xml:space="preserve">spire type actin nucleation factor 1</t>
  </si>
  <si>
    <t xml:space="preserve">FUNCTION: Acts as a actin nucleation factor, remains associated with the slow-growing pointed end of the new filament. Involved in intracellular vesicle transport along actin fibers, providing a novel link between actin cytoskeleton dynamics and intracellular transport. Required for asymmetric spindle positioning and asymmetric cell division during meiosis. Required for normal formation of the cleavage furrow and for polar body extrusion during female germ cell meiosis. {ECO:0000269|PubMed:11747823, ECO:0000269|PubMed:21620703}.; </t>
  </si>
  <si>
    <t xml:space="preserve">57.64</t>
  </si>
  <si>
    <t xml:space="preserve">53</t>
  </si>
  <si>
    <t xml:space="preserve">48,5</t>
  </si>
  <si>
    <t xml:space="preserve">1.4946934567636e-09</t>
  </si>
  <si>
    <t xml:space="preserve">ankyrin repeat domain 30B</t>
  </si>
  <si>
    <t xml:space="preserve">80.60</t>
  </si>
  <si>
    <t xml:space="preserve">0.879312141538273</t>
  </si>
  <si>
    <t xml:space="preserve">TATA-box binding protein associated factor 4b</t>
  </si>
  <si>
    <t xml:space="preserve">FUNCTION: Cell type-specific subunit of the general transcription factor TFIID that may function as a gene-selective coactivator in certain cells. TFIID is a multimeric protein complex that plays a central role in mediating promoter responses to various activators and repressors. TAF4B is a transcriptional coactivator of the p65/RELA NF-kappa-B subunit. Involved in the activation of a subset of antiapoptotic genes including TNFAIP3. May be involved in regulating folliculogenesis. Through interaction with OCBA/POU2AF1, acts as a coactivator of B-cell-specific transcription. Plays a role in spermiogenesis and oogenesis. {ECO:0000250|UniProtKB:G5E8Z2, ECO:0000269|PubMed:10828057, ECO:0000269|PubMed:10849440, ECO:0000269|PubMed:16088961, ECO:0000303|PubMed:24431330}.; </t>
  </si>
  <si>
    <t xml:space="preserve">DISEASE: Spermatogenic failure 13 (SPGF13) [MIM:615841]: A disorder resulting in the absence (azoospermia) or reduction (oligozoospermia) of sperm in the semen, leading to male infertility. {ECO:0000269|PubMed:24431330}. Note=The disease is caused by mutations affecting the gene represented in this entry.; </t>
  </si>
  <si>
    <t xml:space="preserve">207.65</t>
  </si>
  <si>
    <t xml:space="preserve">1,6</t>
  </si>
  <si>
    <t xml:space="preserve">1912.64</t>
  </si>
  <si>
    <t xml:space="preserve">134</t>
  </si>
  <si>
    <t xml:space="preserve">67,67</t>
  </si>
  <si>
    <t xml:space="preserve">0.934855730655081</t>
  </si>
  <si>
    <t xml:space="preserve">potassium channel tetramerization domain containing 1</t>
  </si>
  <si>
    <t xml:space="preserve">FUNCTION: May repress the transcriptional activity of AP-2 family members, including TFAP2A, TFAP2B and TFAP2C to various extent. {ECO:0000269|PubMed:18358072, ECO:0000269|PubMed:19115315}.; </t>
  </si>
  <si>
    <t xml:space="preserve">DISEASE: Scalp-ear-nipple syndrome (SENS) [MIM:181270]: A disease characterized by aplasia cutis congenita of the scalp, breast anomalies that range from hypothelia or athelia to amastia, and minor anomalies of the external ears. Less frequent clinical characteristics include nail dystrophy, dental anomalies, cutaneous syndactyly of the digits, and renal malformations. Penetrance appears to be high, although there is substantial variable expressivity within families. {ECO:0000269|PubMed:23541344}. Note=The disease is caused by mutations affecting the gene represented in this entry.; </t>
  </si>
  <si>
    <t xml:space="preserve">ATT</t>
  </si>
  <si>
    <t xml:space="preserve">89.60</t>
  </si>
  <si>
    <t xml:space="preserve">118,13</t>
  </si>
  <si>
    <t xml:space="preserve">uc002ldz.3:c.*253_*254insAAT;uc002lea.2:c.*253_*254insAAT;uc002leb.2:c.*253_*254insAAT</t>
  </si>
  <si>
    <t xml:space="preserve">221.64</t>
  </si>
  <si>
    <t xml:space="preserve">139</t>
  </si>
  <si>
    <t xml:space="preserve">123,16</t>
  </si>
  <si>
    <t xml:space="preserve">uc002ldz.3:c.*242C&gt;A;uc002lea.2:c.*242C&gt;A;uc002leb.2:c.*242C&gt;A</t>
  </si>
  <si>
    <t xml:space="preserve">310.64</t>
  </si>
  <si>
    <t xml:space="preserve">178</t>
  </si>
  <si>
    <t xml:space="preserve">158,20</t>
  </si>
  <si>
    <t xml:space="preserve">uc002ldz.3:c.*56T&gt;G;uc002lea.2:c.*56T&gt;G;uc002leb.2:c.*56T&gt;G</t>
  </si>
  <si>
    <t xml:space="preserve">3.6650370597666e-07</t>
  </si>
  <si>
    <t xml:space="preserve">ATPase phospholipid transporting 8B1</t>
  </si>
  <si>
    <t xml:space="preserve">FUNCTION: Catalytic component of a P4-ATPase flippase complex which catalyzes the hydrolysis of ATP coupled to the transport of aminophospholipids from the outer to the inner leaflet of various membranes and ensures the maintenance of asymmetric distribution of phospholipids. Phospholipid translocation seems also to be implicated in vesicle formation and in uptake of lipid signaling molecules. May play a role in asymmetric distribution of phospholipids in the canicular membrane. May have a role in transport of bile acids into the canaliculus, uptake of bile acids from intestinal contents into intestinal mucosa or both. In cooperation with ABCB4 may be involved in establishing integrity of the canalicular membrane thus protecting hepatocytes from bile salts. Together with TMEM30A is involved in uptake of the synthetic drug alkylphospholipid perifosine. Involved in the microvillus formation in polarized epithelial cells; the function seems to be independent from its flippase activity. Required for the preservation of cochlear hair cells in the inner ear. May act as cardiolipin transporter during inflammatory injury. {ECO:0000269|PubMed:17948906, ECO:0000269|PubMed:20510206, ECO:0000269|PubMed:20512993}.; </t>
  </si>
  <si>
    <t xml:space="preserve">DISEASE: Cholestasis, benign recurrent intrahepatic, 1 (BRIC1) [MIM:243300]: A disorder characterized by intermittent episodes of cholestasis without progression to liver failure. There is initial elevation of serum bile acids, followed by cholestatic jaundice which generally spontaneously resolves after periods of weeks to months. The cholestatic attacks vary in severity and duration. Patients are asymptomatic between episodes, both clinically and biochemically. {ECO:0000269|PubMed:15239083, ECO:0000269|PubMed:9500542, ECO:0000269|PubMed:9918928}. Note=The disease is caused by mutations affecting the gene represented in this entry.; DISEASE: Cholestasis of pregnancy, intrahepatic 1 (ICP1) [MIM:147480]: A liver disorder of pregnancy. It presents during the second or, more commonly, the third trimester of pregnancy with intense pruritus which becomes more severe with advancing gestation and cholestasis. Cholestasis results from abnormal biliary transport from the liver into the small intestine. ICP1 causes fetal distress, spontaneous premature delivery and intrauterine death. ICP1 patients have spontaneous and progressive disappearance of cholestasis after delivery. {ECO:0000269|PubMed:15657619, ECO:0000269|PubMed:15888793}. Note=The disease may be caused by mutations affecting the gene represented in this entry.; </t>
  </si>
  <si>
    <t xml:space="preserve">141.02</t>
  </si>
  <si>
    <t xml:space="preserve">32</t>
  </si>
  <si>
    <t xml:space="preserve">8,11,13</t>
  </si>
  <si>
    <t xml:space="preserve">0.994144577983795</t>
  </si>
  <si>
    <t xml:space="preserve">MALT1 paracaspase</t>
  </si>
  <si>
    <t xml:space="preserve">FUNCTION: Enhances BCL10-induced activation of NF-kappa-B. Involved in nuclear export of BCL10. Binds to TRAF6, inducing TRAF6 oligomerization and activation of its ligase activity. Has ubiquitin ligase activity. MALT1-dependent BCL10 cleavage plays an important role in T-cell antigen receptor-induced integrin adhesion. {ECO:0000269|PubMed:11262391, ECO:0000269|PubMed:14695475, ECO:0000269|PubMed:18264101}.; </t>
  </si>
  <si>
    <t xml:space="preserve">DISEASE: Note=A chromosomal aberration involving MALT1 is recurrent in low-grade mucosa-associated lymphoid tissue (MALT lymphoma). Translocation t(11;18)(q21;q21) with BIRC2. This translocation is found in approximately 50% of cytogenetically abnormal low-grade MALT lymphoma. {ECO:0000269|PubMed:10339464, ECO:0000269|PubMed:10523859, ECO:0000269|PubMed:10702396, ECO:0000269|PubMed:11090634}.; </t>
  </si>
  <si>
    <t xml:space="preserve">GCAAGGTACGCGGGGACTGGGGACAGGGAGGGCGTCCTGAACG</t>
  </si>
  <si>
    <t xml:space="preserve">68.60</t>
  </si>
  <si>
    <t xml:space="preserve">8,3</t>
  </si>
  <si>
    <t xml:space="preserve">THOP1:NM_003249:exon12:c.1904_1908del:p.K636Wfs*28;THOP1:uc002lwk.3:exon3:c.437_441del:p.S146Ifs*5,THOP1:uc010xgz.2:exon9:c.1541_1545del:p.K515Wfs*28,THOP1:uc002lwj.3:exon12:c.1904_1908del:p.K636Wfs*28;ENSG00000172009:ENST00000395212:exon3:c.437_441del:p.S146Ifs*5,ENSG00000172009:ENST00000587468:exon3:c.437_441del:p.K147Wfs*21,ENSG00000172009:ENST00000587401:exon4:c.536_540del:p.S179Rfs*54,ENSG00000172009:ENST00000586677:exon9:c.1541_1545del:p.K515Wfs*28,ENSG00000172009:ENST00000307741:exon12:c.1904_1908del:p.K636Wfs*28</t>
  </si>
  <si>
    <t xml:space="preserve">0.0234920934710946</t>
  </si>
  <si>
    <t xml:space="preserve">thimet oligopeptidase 1</t>
  </si>
  <si>
    <t xml:space="preserve">FUNCTION: Involved in the metabolism of neuropeptides under 20 amino acid residues long. Involved in cytoplasmic peptide degradation. Able to degrade the beta-amyloid precursor protein and generate amyloidogenic fragments.; </t>
  </si>
  <si>
    <t xml:space="preserve">1382.64</t>
  </si>
  <si>
    <t xml:space="preserve">93</t>
  </si>
  <si>
    <t xml:space="preserve">54,39</t>
  </si>
  <si>
    <t xml:space="preserve">NM_002067:c.*263C&gt;G;uc002lxd.3:c.*263C&gt;G</t>
  </si>
  <si>
    <t xml:space="preserve">0.966183014336431</t>
  </si>
  <si>
    <t xml:space="preserve">G protein subunit alpha 11</t>
  </si>
  <si>
    <t xml:space="preserve">FUNCTION: Guanine nucleotide-binding proteins (G proteins) are involved as modulators or transducers in various transmembrane signaling systems. Acts as an activator of phospholipase C.; </t>
  </si>
  <si>
    <t xml:space="preserve">DISEASE: Hypocalciuric hypercalcemia, familial 2 (HHC2) [MIM:145981]: A form of hypocalciuric hypercalcemia, a disorder of mineral homeostasis that is transmitted as an autosomal dominant trait with a high degree of penetrance. It is characterized biochemically by lifelong elevation of serum calcium concentrations and is associated with inappropriately low urinary calcium excretion and a normal or mildly elevated circulating parathyroid hormone level. Hypermagnesemia is typically present. Affected individuals are usually asymptomatic and the disorder is considered benign. However, chondrocalcinosis and pancreatitis occur in some adults. {ECO:0000269|PubMed:23802516}. Note=The disease is caused by mutations affecting the gene represented in this entry.; DISEASE: Hypocalcemia, autosomal dominant 2 (HYPOC2) [MIM:615361]: A form of hypocalcemia, a disorder of mineral homeostasis characterized by blood calcium levels below normal, and low or normal serum parathyroid hormone concentrations. Disease manifestations include hypocalcemia, paresthesias, carpopedal spasm, seizures, hypercalciuria with nephrocalcinosis or kidney stones, and ectopic and basal ganglia calcifications. {ECO:0000269|PubMed:23782177, ECO:0000269|PubMed:23802516}. Note=The disease is caused by mutations affecting the gene represented in this entry.; </t>
  </si>
  <si>
    <t xml:space="preserve">331.64</t>
  </si>
  <si>
    <t xml:space="preserve">38</t>
  </si>
  <si>
    <t xml:space="preserve">23,15</t>
  </si>
  <si>
    <t xml:space="preserve">0.842498930517079</t>
  </si>
  <si>
    <t xml:space="preserve">nuclear factor I/C (CCAAT-binding transcription factor)</t>
  </si>
  <si>
    <t xml:space="preserve">FUNCTION: Recognizes and binds the palindromic sequence 5'- TTGGCNNNNNGCCAA-3' present in viral and cellular promoters and in the origin of replication of adenovirus type 2. These proteins are individually capable of activating transcription and replication.; </t>
  </si>
  <si>
    <t xml:space="preserve">144.64</t>
  </si>
  <si>
    <t xml:space="preserve">129</t>
  </si>
  <si>
    <t xml:space="preserve">117,12</t>
  </si>
  <si>
    <t xml:space="preserve">mucin 16, cell surface associated</t>
  </si>
  <si>
    <t xml:space="preserve">FUNCTION: Thought to provide a protective, lubricating barrier against particles and infectious agents at mucosal surfaces. {ECO:0000250}.; </t>
  </si>
  <si>
    <t xml:space="preserve">TTT</t>
  </si>
  <si>
    <t xml:space="preserve">84.60</t>
  </si>
  <si>
    <t xml:space="preserve">15,5</t>
  </si>
  <si>
    <t xml:space="preserve">0.000303611080808048</t>
  </si>
  <si>
    <t xml:space="preserve">cytochrome P450 family 4 subfamily F member 22</t>
  </si>
  <si>
    <t xml:space="preserve">DISEASE: Ichthyosis, congenital, autosomal recessive 5 (ARCI5) [MIM:604777]: A form of autosomal recessive congenital ichthyosis, a disorder of keratinization with abnormal differentiation and desquamation of the epidermis, resulting in abnormal skin scaling over the whole body. The main skin phenotypes are lamellar ichthyosis (LI) and non-bullous congenital ichthyosiform erythroderma (NCIE), although phenotypic overlap within the same patient or among patients from the same family can occur. Lamellar ichthyosis is a condition often associated with an embedment in a collodion-like membrane at birth; skin scales later develop, covering the entire body surface. Non-bullous congenital ichthyosiform erythroderma characterized by fine whitish scaling on an erythrodermal background; larger brownish scales are present on the buttocks, neck and legs. {ECO:0000269|PubMed:16436457}. Note=The disease is caused by mutations affecting the gene represented in this entry.; </t>
  </si>
  <si>
    <t xml:space="preserve">869.64</t>
  </si>
  <si>
    <t xml:space="preserve">18,31</t>
  </si>
  <si>
    <t xml:space="preserve">protein phosphatase 1 regulatory subunit 37</t>
  </si>
  <si>
    <t xml:space="preserve">FUNCTION: Inhibits phosphatase activity of protein phosphatase 1 (PP1) complexes. {ECO:0000269|PubMed:19389623}.; </t>
  </si>
  <si>
    <t xml:space="preserve">CAGCAGCAGCAGCAG</t>
  </si>
  <si>
    <t xml:space="preserve">396.02</t>
  </si>
  <si>
    <t xml:space="preserve">0,9</t>
  </si>
  <si>
    <t xml:space="preserve">uc021uwb.1:c.*276_*262delCTGCTGCTGCTGCTG;uc010xxs.1:c.*276_*262delCTGCTGCTGCTGCTG;uc002pdd.1:c.*283_*269delCTGCTGCTGCTGCTG;uc002pde.1:c.*276_*262delCTGCTGCTGCTGCTG;uc002pdg.1:c.*276_*262delCTGCTGCTGCTGCTG;uc002pdf.1:c.*283_*269delCTGCTGCTGCTGCTG;uc002pdh.1:c.*283_*269delCTGCTGCTGCTGCTG;uc002pdi.1:c.*283_*269delCTGCTGCTGCTGCTG;uc010xxt.1:c.*428_*414delCTGCTGCTGCTGCTG</t>
  </si>
  <si>
    <t xml:space="preserve">0.0330811788641306</t>
  </si>
  <si>
    <t xml:space="preserve">dystrophia myotonica protein kinase</t>
  </si>
  <si>
    <t xml:space="preserve">FUNCTION: Non-receptor serine/threonine protein kinase which is necessary for the maintenance of skeletal muscle structure and function. May play a role in myocyte differentiation and survival by regulating the integrity of the nuclear envelope and the expression of muscle-specific genes. May also phosphorylate PPP1R12A and inhibit the myosin phosphatase activity to regulate myosin phosphorylation. Also critical to the modulation of cardiac contractility and to the maintenance of proper cardiac conduction activity probably through the regulation of cellular calcium homeostasis. Phosphorylates PLN, a regulator of calcium pumps and may regulate sarcoplasmic reticulum calcium uptake in myocytes. May also phosphorylate FXYD1/PLM which is able to induce chloride currents. May also play a role in synaptic plasticity. {ECO:0000269|PubMed:10811636, ECO:0000269|PubMed:10913253, ECO:0000269|PubMed:11287000, ECO:0000269|PubMed:15598648, ECO:0000269|PubMed:21457715, ECO:0000269|PubMed:21949239}.; </t>
  </si>
  <si>
    <t xml:space="preserve">DISEASE: Dystrophia myotonica 1 (DM1) [MIM:160900]: A muscular disorder characterized by myotonia, muscle wasting in the distal extremities, cataract, hypogonadism, defective endocrine functions, male baldness and cardiac arrhythmias. {ECO:0000269|PubMed:1302022, ECO:0000269|PubMed:1310900, ECO:0000269|PubMed:1546326, ECO:0000269|PubMed:19514047}. Note=The disease is caused by mutations affecting the gene represented in this entry. The causative mutation is a CTG expansion in the 3'- UTR of the DMPK gene. A length exceeding 50 CTG repeats is pathogenic, while normal individuals have 5 to 37 repeats. Intermediate alleles with 35-49 triplets are not disease-causing but show instability in intergenerational transmissions. Disease severity varies with the number of repeats: mildly affected persons have 50 to 150 repeats, patients with classic DM have 100 to 1,000 repeats, and those with congenital onset can have more than 2,000 repeats. {ECO:0000269|PubMed:1310900, ECO:0000269|PubMed:19514047}.; </t>
  </si>
  <si>
    <t xml:space="preserve">45.64</t>
  </si>
  <si>
    <t xml:space="preserve">0.087951252701366</t>
  </si>
  <si>
    <t xml:space="preserve">PIH1 domain containing 1</t>
  </si>
  <si>
    <t xml:space="preserve">FUNCTION: Involved in the assembly of C/D box small nucleolar ribonucleoprotein (snoRNP) particles (PubMed:17636026). Recruits the SWI/SNF complex to the core promoter of rRNA genes and enhances pre-rRNA transcription (PubMed:22368283, PubMed:24036451). Mediates interaction of TELO2 with the R2TP complex which is necessary for the stability of MTOR and SMG1 (PubMed:20864032). Positively regulates the assembly and activity of the mTORC1 complex (PubMed:24036451). {ECO:0000269|PubMed:17636026, ECO:0000269|PubMed:20864032, ECO:0000269|PubMed:22368283, ECO:0000269|PubMed:24036451}.; </t>
  </si>
  <si>
    <t xml:space="preserve">TA</t>
  </si>
  <si>
    <t xml:space="preserve">77,14</t>
  </si>
  <si>
    <t xml:space="preserve">NM_001282333:c.*555_*556delTA;NM_024075:c.*864_*865delTA;NM_001282332:c.*864_*865delTA;NM_001077446:c.*864_*865delTA;uc002qdu.3:c.*864_*865delTA;uc002qdv.3:c.*864_*865delTA;uc002qdw.3:c.*864_*865delTA</t>
  </si>
  <si>
    <t xml:space="preserve">0.396480812083883</t>
  </si>
  <si>
    <t xml:space="preserve">tRNA splicing endonuclease subunit 34</t>
  </si>
  <si>
    <t xml:space="preserve">FUNCTION: Constitutes one of the two catalytic subunit of the tRNA-splicing endonuclease complex, a complex responsible for identification and cleavage of the splice sites in pre-tRNA. It cleaves pre-tRNA at the 5'- and 3'-splice sites to release the intron. The products are an intron and two tRNA half-molecules bearing 2',3'-cyclic phosphate and 5'-OH termini. There are no conserved sequences at the splice sites, but the intron is invariably located at the same site in the gene, placing the splice sites an invariant distance from the constant structural features of the tRNA body. It probably carries the active site for 3'-splice site cleavage. The tRNA splicing endonuclease is also involved in mRNA processing via its association with pre-mRNA 3'- end processing factors, establishing a link between pre-tRNA splicing and pre-mRNA 3'-end formation, suggesting that the endonuclease subunits function in multiple RNA-processing events. {ECO:0000269|PubMed:15109492}.; </t>
  </si>
  <si>
    <t xml:space="preserve">DISEASE: Pontocerebellar hypoplasia 2C (PCH2C) [MIM:612390]: A disorder characterized by an abnormally small cerebellum and brainstem, and progressive microcephaly from birth combined with extrapyramidal dyskinesia. Severe chorea occurs and epilepsy is frequent. There are no signs of spinal cord anterior horn cells degeneration. {ECO:0000269|PubMed:18711368}. Note=The disease is caused by mutations affecting the gene represented in this entry.; </t>
  </si>
  <si>
    <t xml:space="preserve">307</t>
  </si>
  <si>
    <t xml:space="preserve">274,33</t>
  </si>
  <si>
    <t xml:space="preserve">5;5</t>
  </si>
  <si>
    <t xml:space="preserve">0.0380264991528057;0.184502116558515</t>
  </si>
  <si>
    <t xml:space="preserve">killer cell immunoglobulin like receptor, two Ig domains and long cytoplasmic tail 1;killer cell immunoglobulin like receptor, two Ig domains and long cytoplasmic tail 3</t>
  </si>
  <si>
    <t xml:space="preserve">FUNCTION: Receptor on natural killer (NK) cells for HLA-C alleles (HLA-Cw1, HLA-Cw3 and HLA-Cw7). Inhibits the activity of NK cells thus preventing cell lysis.; ;FUNCTION: Receptor on natural killer (NK) cells for HLA-C alleles. Inhibits the activity of NK cells thus preventing cell lysis. {ECO:0000269|PubMed:18604210}.; </t>
  </si>
  <si>
    <t xml:space="preserve">1342.64</t>
  </si>
  <si>
    <t xml:space="preserve">122,44</t>
  </si>
  <si>
    <t xml:space="preserve">211.64</t>
  </si>
  <si>
    <t xml:space="preserve">24,7</t>
  </si>
  <si>
    <t xml:space="preserve">5;5;8;3</t>
  </si>
  <si>
    <t xml:space="preserve">killer cell immunoglobulin like receptor, two Ig domains and long cytoplasmic tail 1;killer cell immunoglobulin like receptor, two Ig domains and long cytoplasmic tail 3;killer cell immunoglobulin like receptor, two Ig domains and short cytoplasmic tail 4</t>
  </si>
  <si>
    <t xml:space="preserve">FUNCTION: Receptor on natural killer (NK) cells for HLA-C alleles (HLA-Cw1, HLA-Cw3 and HLA-Cw7). Inhibits the activity of NK cells thus preventing cell lysis.; ;FUNCTION: Receptor on natural killer (NK) cells for HLA-C alleles. Does not inhibit the activity of NK cells. {ECO:0000269|PubMed:19858347}.; ;FUNCTION: Receptor on natural killer (NK) cells for HLA-C alleles. Inhibits the activity of NK cells thus preventing cell lysis. {ECO:0000269|PubMed:18604210}.; </t>
  </si>
  <si>
    <t xml:space="preserve">320.60</t>
  </si>
  <si>
    <t xml:space="preserve">275</t>
  </si>
  <si>
    <t xml:space="preserve">249,26</t>
  </si>
  <si>
    <t xml:space="preserve">LOC112267881:NM_001368251:exon4:c.527_528del:p.K176Sfs*8,KIR2DL1:NM_014218:exon4:c.527_528del:p.K176Sfs*8;KIR2DL3:uc002qha.2:exon2:c.257_258del:p.K86Sfs*8,KIR2DL1:uc002qhb.1:exon4:c.527_528del:p.K176Sfs*8,KIR2DL1:uc010erz.1:exon4:c.527_528del:p.K176Sfs*8;ENSG00000125498:ENST00000291633:exon4:c.527_528del:p.K176Sfs*8,ENSG00000125498:ENST00000336077:exon4:c.527_528del:p.K176Sfs*8</t>
  </si>
  <si>
    <t xml:space="preserve">5;5;3</t>
  </si>
  <si>
    <t xml:space="preserve">CA</t>
  </si>
  <si>
    <t xml:space="preserve">356.60</t>
  </si>
  <si>
    <t xml:space="preserve">271</t>
  </si>
  <si>
    <t xml:space="preserve">244,27</t>
  </si>
  <si>
    <t xml:space="preserve">LOC112267881:NM_001368251:exon4:c.529_530insCA:p.V177Afs*72,KIR2DL1:NM_014218:exon4:c.529_530insCA:p.V177Afs*72;KIR2DL3:uc002qha.2:exon2:c.259_260insCA:p.V87Afs*46,KIR2DL1:uc002qhb.1:exon4:c.529_530insCA:p.V177Afs*72,KIR2DL1:uc010erz.1:exon4:c.529_530insCA:p.V177Afs*75;ENSG00000125498:ENST00000291633:exon4:c.529_530insCA:p.V177Afs*75,ENSG00000125498:ENST00000336077:exon4:c.529_530insCA:p.V177Afs*72</t>
  </si>
  <si>
    <t xml:space="preserve">155.64</t>
  </si>
  <si>
    <t xml:space="preserve">25,6</t>
  </si>
  <si>
    <t xml:space="preserve">7;8;7;7;7</t>
  </si>
  <si>
    <t xml:space="preserve">0.875263421473205;9.78327262907819e-06</t>
  </si>
  <si>
    <t xml:space="preserve">killer cell immunoglobulin like receptor, three Ig domains and long cytoplasmic tail 1;killer cell immunoglobulin like receptor, two Ig domains and long cytoplasmic tail 4;killer cell immunoglobulin like receptor, two Ig domains and short cytoplasmic tail 4</t>
  </si>
  <si>
    <t xml:space="preserve">FUNCTION: Receptor on natural killer (NK) cells for HLA Bw4 allele. Inhibits the activity of NK cells thus preventing cell lysis. {ECO:0000269|PubMed:22020283}.; ;FUNCTION: Receptor on natural killer (NK) cells for HLA-C alleles. Does not inhibit the activity of NK cells. {ECO:0000269|PubMed:19858347}.; ;FUNCTION: Receptor on natural killer (NK) cells for HLA-C alleles. Inhibits the activity of NK cells thus preventing cell lysis.; </t>
  </si>
  <si>
    <t xml:space="preserve">92</t>
  </si>
  <si>
    <t xml:space="preserve">84,8</t>
  </si>
  <si>
    <t xml:space="preserve">GG</t>
  </si>
  <si>
    <t xml:space="preserve">1415.60</t>
  </si>
  <si>
    <t xml:space="preserve">200</t>
  </si>
  <si>
    <t xml:space="preserve">155,45</t>
  </si>
  <si>
    <t xml:space="preserve">KIR2DL4:NM_001080770:exon5:c.674_675del:p.W225Sfs*5,KIR2DL4:NM_001080772:exon5:c.674_675del:p.W225Sfs*5;LOC100287534:uc002qhh.4:exon4:c.506_507del:p.W169Sfs*5,LOC100287534:uc002qhg.4:exon5:c.674_675del:p.W225Sfs*5,KIR2DL4:uc010yfl.2:exon5:c.668_669del:p.W223Sfs*5,LOC100287534:uc021vbn.2:exon6:c.674_675del:p.W225Sfs*5;ENSG00000189013:ENST00000346587:exon4:c.389_390del:p.W130Sfs*5,ENSG00000189013:ENST00000345540:exon5:c.674_675del:p.W225Sfs*5,ENSG00000189013:ENST00000359085:exon5:c.674_675del:p.W225Sfs*5,ENSG00000189013:ENST00000396284:exon5:c.668_669del:p.W223Sfs*5</t>
  </si>
  <si>
    <t xml:space="preserve">7;7;7</t>
  </si>
  <si>
    <t xml:space="preserve">0.875263421473205</t>
  </si>
  <si>
    <t xml:space="preserve">killer cell immunoglobulin like receptor, two Ig domains and long cytoplasmic tail 4</t>
  </si>
  <si>
    <t xml:space="preserve">FUNCTION: Receptor on natural killer (NK) cells for HLA-C alleles. Inhibits the activity of NK cells thus preventing cell lysis.; </t>
  </si>
  <si>
    <t xml:space="preserve">AT</t>
  </si>
  <si>
    <t xml:space="preserve">1463.60</t>
  </si>
  <si>
    <t xml:space="preserve">199</t>
  </si>
  <si>
    <t xml:space="preserve">153,46</t>
  </si>
  <si>
    <t xml:space="preserve">KIR2DL4:NM_001080770:exon5:c.676_677insAT:p.P226Hfs*15,KIR2DL4:NM_001080772:exon5:c.676_677insAT:p.P226Hfs*20;LOC100287534:uc002qhh.4:exon4:c.508_509insAT:p.P170Hfs*15,LOC100287534:uc002qhg.4:exon5:c.676_677insAT:p.P226Hfs*15,KIR2DL4:uc010yfl.2:exon5:c.670_671insAT:p.P224Hfs*20,LOC100287534:uc021vbn.2:exon6:c.676_677insAT:p.P226Hfs*20;ENSG00000189013:ENST00000346587:exon4:c.391_392insAT:p.P131Hfs*15,ENSG00000189013:ENST00000345540:exon5:c.676_677insAT:p.P226Hfs*15,ENSG00000189013:ENST00000359085:exon5:c.676_677insAT:p.P226Hfs*20,ENSG00000189013:ENST00000396284:exon5:c.670_671insAT:p.P224Hfs*20</t>
  </si>
  <si>
    <t xml:space="preserve">576.64</t>
  </si>
  <si>
    <t xml:space="preserve">60</t>
  </si>
  <si>
    <t xml:space="preserve">43,17</t>
  </si>
  <si>
    <t xml:space="preserve">94.64</t>
  </si>
  <si>
    <t xml:space="preserve">22,4</t>
  </si>
  <si>
    <t xml:space="preserve">1531.60</t>
  </si>
  <si>
    <t xml:space="preserve">50,71</t>
  </si>
  <si>
    <t xml:space="preserve">KIR2DL4:NM_001080772:exon6:c.802dupA:p.M271Nfs*108;LOC100287534:uc002qhi.4:exon5:c.868dupA:p.M293Nfs*108,KIR2DL4:uc010yfl.2:exon6:c.796dupA:p.V269Sfs*43,LOC100287534:uc021vbn.2:exon7:c.802dupA:p.M271Nfs*108;ENSG00000189013:ENST00000359085:exon6:c.802dupA:p.M271Nfs*108,ENSG00000189013:ENST00000396284:exon6:c.796dupA:p.V269Sfs*43</t>
  </si>
  <si>
    <t xml:space="preserve">1268.64</t>
  </si>
  <si>
    <t xml:space="preserve">174</t>
  </si>
  <si>
    <t xml:space="preserve">134,40</t>
  </si>
  <si>
    <t xml:space="preserve">8;7</t>
  </si>
  <si>
    <t xml:space="preserve">9.78327262907819e-06</t>
  </si>
  <si>
    <t xml:space="preserve">killer cell immunoglobulin like receptor, three Ig domains and long cytoplasmic tail 1;killer cell immunoglobulin like receptor, two Ig domains and short cytoplasmic tail 4</t>
  </si>
  <si>
    <t xml:space="preserve">FUNCTION: Receptor on natural killer (NK) cells for HLA Bw4 allele. Inhibits the activity of NK cells thus preventing cell lysis. {ECO:0000269|PubMed:22020283}.; ;FUNCTION: Receptor on natural killer (NK) cells for HLA-C alleles. Does not inhibit the activity of NK cells. {ECO:0000269|PubMed:19858347}.; </t>
  </si>
  <si>
    <t xml:space="preserve">998.64</t>
  </si>
  <si>
    <t xml:space="preserve">219</t>
  </si>
  <si>
    <t xml:space="preserve">182,37</t>
  </si>
  <si>
    <t xml:space="preserve">226.64</t>
  </si>
  <si>
    <t xml:space="preserve">130</t>
  </si>
  <si>
    <t xml:space="preserve">108,22</t>
  </si>
  <si>
    <t xml:space="preserve">8;7;1</t>
  </si>
  <si>
    <t xml:space="preserve">0.221236755494515;9.78327262907819e-06</t>
  </si>
  <si>
    <t xml:space="preserve">killer cell immunoglobulin like receptor, three Ig domains and long cytoplasmic tail 1;killer cell immunoglobulin like receptor, three Ig domains and long cytoplasmic tail 2;killer cell immunoglobulin like receptor, two Ig domains and short cytoplasmic tail 4</t>
  </si>
  <si>
    <t xml:space="preserve">FUNCTION: Receptor on natural killer (NK) cells for HLA Bw4 allele. Inhibits the activity of NK cells thus preventing cell lysis. {ECO:0000269|PubMed:22020283}.; ;FUNCTION: Receptor on natural killer (NK) cells for HLA-A alleles. Inhibits the activity of NK cells thus preventing cell lysis.; ;FUNCTION: Receptor on natural killer (NK) cells for HLA-C alleles. Does not inhibit the activity of NK cells. {ECO:0000269|PubMed:19858347}.; </t>
  </si>
  <si>
    <t xml:space="preserve">GT</t>
  </si>
  <si>
    <t xml:space="preserve">777.60</t>
  </si>
  <si>
    <t xml:space="preserve">30,28</t>
  </si>
  <si>
    <t xml:space="preserve">ZNF787:NM_001002836:exon3:c.1091_1092del:p.D364Gfs*98;ZNF787:uc010eth.1:exon3:c.1091_1092del:p.D364Gfs*99;ENSG00000142409:ENST00000270459:exon3:c.1091_1092del:p.D364Gfs*99</t>
  </si>
  <si>
    <t xml:space="preserve">0.741821107718521</t>
  </si>
  <si>
    <t xml:space="preserve">zinc finger protein 787</t>
  </si>
  <si>
    <t xml:space="preserve">FUNCTION: May be involved in transcriptional regulation.; </t>
  </si>
  <si>
    <t xml:space="preserve">ZNF787:NM_001002836:exon3:c.1089delC:p.D363Efs*151;ZNF787:uc010eth.1:exon3:c.1089delC:p.D363Efs*152;ENSG00000142409:ENST00000270459:exon3:c.1089delC:p.D363Efs*152</t>
  </si>
  <si>
    <t xml:space="preserve">2170.64</t>
  </si>
  <si>
    <t xml:space="preserve">56,77</t>
  </si>
  <si>
    <t xml:space="preserve">1.74303796061719e-10</t>
  </si>
  <si>
    <t xml:space="preserve">zinc finger protein 530</t>
  </si>
  <si>
    <t xml:space="preserve">FUNCTION: May be involved in transcriptional regulation. {ECO:0000250}.; </t>
  </si>
  <si>
    <t xml:space="preserve">138.60</t>
  </si>
  <si>
    <t xml:space="preserve">80</t>
  </si>
  <si>
    <t xml:space="preserve">66,14</t>
  </si>
  <si>
    <t xml:space="preserve">ENSG00000119185:ENST00000483795:exon4:c.302delA:p.N101Ifs*3</t>
  </si>
  <si>
    <t xml:space="preserve">0.00190084865607946</t>
  </si>
  <si>
    <t xml:space="preserve">integrin subunit beta 1 binding protein 1</t>
  </si>
  <si>
    <t xml:space="preserve">FUNCTION: Key regulator of the integrin-mediated cell-matrix interaction signaling by binding to the ITGB1 cytoplasmic tail and preventing the activation of integrin alpha-5/beta-1 (heterodimer of ITGA5 and ITGB1) by talin or FERMT1. Plays a role in cell proliferation, differentiation, spreading, adhesion and migration in the context of mineralization and bone development and angiogenesis. Stimulates cellular proliferation in a fibronectin- dependent manner. Involved in the regulation of beta-1 integrin- containing focal adhesion (FA) site dynamics by controlling its assembly rate during cell adhesion; inhibits beta-1 integrin clustering within FA by directly competing with talin TLN1, and hence stimulates osteoblast spreading and migration in a fibronectin-and/or collagen-dependent manner. Acts as a guanine nucleotide dissociation inhibitor (GDI) by regulating Rho family GTPases during integrin-mediated cell matrix adhesion; reduces the level of active GTP-bound form of both CDC42 and RAC1 GTPases upon cell adhesion to fibronectin. Stimulates the release of active CDC42 from the membranes to maintain it in an inactive cytoplasmic pool. Participates in the translocation of the Rho-associated protein kinase ROCK1 to membrane ruffles at cell leading edges of the cell membrane, leading to an increase of myoblast cell migration on laminin. Plays a role in bone mineralization at a late stage of osteoblast differentiation; modulates the dynamic formation of focal adhesions into fibrillar adhesions, which are adhesive structures responsible for fibronectin deposition and fibrillogenesis. Plays a role in blood vessel development; acts as a negative regulator of angiogenesis by attenuating endothelial cell proliferation and migration, lumen formation and sprouting angiogenesis by promoting AKT phosphorylation and inhibiting ERK1/2 phosphorylation through activation of the Notch signaling pathway. Promotes transcriptional activity of the MYC promoter. {ECO:0000269|PubMed:11741838, ECO:0000269|PubMed:11807099, ECO:0000269|PubMed:11919189, ECO:0000269|PubMed:12473654, ECO:0000269|PubMed:15703214, ECO:0000269|PubMed:17916086, ECO:0000269|PubMed:20616313, ECO:0000269|PubMed:21768292, ECO:0000269|Ref.18}.; </t>
  </si>
  <si>
    <t xml:space="preserve">209.60</t>
  </si>
  <si>
    <t xml:space="preserve">129,28</t>
  </si>
  <si>
    <t xml:space="preserve">TAF1B:NM_005680:exon3:c.187dupA:p.N66Kfs*4;TAF1B:uc002qzy.4:exon3:c.187dupA:p.N66Kfs*4,TAF1B:uc002qzz.3:exon3:c.187dupA:p.N66Kfs*4,TAF1B:uc010exc.2:exon3:c.187dupA:p.N66Kfs*4;ENSG00000115750:ENST00000263663:exon3:c.187dupA:p.N66Kfs*4,ENSG00000115750:ENST00000434858:exon3:c.187dupA:p.N66Kfs*4</t>
  </si>
  <si>
    <t xml:space="preserve">4.28699121753238e-06</t>
  </si>
  <si>
    <t xml:space="preserve">TATA-box binding protein associated factor, RNA polymerase I subunit B</t>
  </si>
  <si>
    <t xml:space="preserve">FUNCTION: Component of RNA polymerase I core factor complex that acts as a GTF2B/TFIIB-like factor and plays a key role in multiple steps during trancription initiation such as preinitiation complex (PIC) assembly and postpolymerase recruitment events in polymerase I (Pol I) transcription. Binds rDNA promoters and plays a role in Pol I recruitment as a component of the SL1/TIF-IB complex and, possibly, directly through its interaction with RRN3. {ECO:0000269|PubMed:15970593, ECO:0000269|PubMed:21921198, ECO:0000269|PubMed:21921199, ECO:0000269|PubMed:7491500, ECO:0000269|PubMed:7801123, ECO:0000269|PubMed:7801130}.; </t>
  </si>
  <si>
    <t xml:space="preserve">694.64</t>
  </si>
  <si>
    <t xml:space="preserve">21,24</t>
  </si>
  <si>
    <t xml:space="preserve">0.983150778709021</t>
  </si>
  <si>
    <t xml:space="preserve">grainyhead like transcription factor 1</t>
  </si>
  <si>
    <t xml:space="preserve">FUNCTION: Transcription factor involved in epithelial development. Binds directly to the consensus DNA sequence 5'-AACCGGTT-3' (PubMed:12175488, PubMed:18288204). Important regulator of DSG1 in the context of hair anchorage and epidermal differentiation, participates in the maintenance of the skin barrier. There is no genetic interaction with GRHL3, no functional cooperativity due to diverse target gene selectivity during epithelia development (By similarity). Isoform 1 may function as an activator and isoform 2 as a repressor in tissues where both forms are expressed (PubMed:12175488). {ECO:0000250|UniProtKB:Q921D9, ECO:0000269|PubMed:12175488, ECO:0000269|PubMed:18288204}.; </t>
  </si>
  <si>
    <t xml:space="preserve">479.64</t>
  </si>
  <si>
    <t xml:space="preserve">12,15</t>
  </si>
  <si>
    <t xml:space="preserve">calpain 14</t>
  </si>
  <si>
    <t xml:space="preserve">FUNCTION: Calcium-regulated non-lysosomal thiol-protease. {ECO:0000250}.; </t>
  </si>
  <si>
    <t xml:space="preserve">0.999999999999996</t>
  </si>
  <si>
    <t xml:space="preserve">baculoviral IAP repeat containing 6</t>
  </si>
  <si>
    <t xml:space="preserve">FUNCTION: Anti-apoptotic protein which can regulate cell death by controlling caspases and by acting as an E3 ubiquitin-protein ligase. Has an unusual ubiquitin conjugation system in that it could combine in a single polypeptide, ubiquitin conjugating (E2) with ubiquitin ligase (E3) activity, forming a chimeric E2/E3 ubiquitin ligase. Its tragets include CASP9 and DIABLO/SMAC. Acts as an inhibitor of CASP3, CASP7 and CASP9. Important regulator for the final stages of cytokinesis. Crucial for normal vesicle targeting to the site of abscission, but also for the integrity of the midbody and the midbody ring, and its striking ubiquitin modification. {ECO:0000269|PubMed:14765125, ECO:0000269|PubMed:15200957, ECO:0000269|PubMed:18329369}.; </t>
  </si>
  <si>
    <t xml:space="preserve">430.64</t>
  </si>
  <si>
    <t xml:space="preserve">33</t>
  </si>
  <si>
    <t xml:space="preserve">19,14</t>
  </si>
  <si>
    <t xml:space="preserve">6.54258241947822e-09</t>
  </si>
  <si>
    <t xml:space="preserve">tetratricopeptide repeat domain 27</t>
  </si>
  <si>
    <t xml:space="preserve">TTTTT</t>
  </si>
  <si>
    <t xml:space="preserve">964.02</t>
  </si>
  <si>
    <t xml:space="preserve">50</t>
  </si>
  <si>
    <t xml:space="preserve">18,32</t>
  </si>
  <si>
    <t xml:space="preserve">PLEKHH2:uc002rte.3:exon14:c.2311_2315del:p.F777Cfs*13</t>
  </si>
  <si>
    <t xml:space="preserve">1.78874098604568e-26</t>
  </si>
  <si>
    <t xml:space="preserve">pleckstrin homology, MyTH4 and FERM domain containing H2</t>
  </si>
  <si>
    <t xml:space="preserve">FUNCTION: In the kidney glomerulus may play a role in linking podocyte foot processes to the glomerular basement membrane. May be involved in stabilization of F-actin by attenuating its depolymerization. Can recruit TGFB1I1 from focal adhesions to podocyte lamellipodia.; </t>
  </si>
  <si>
    <t xml:space="preserve">390.64</t>
  </si>
  <si>
    <t xml:space="preserve">15,14</t>
  </si>
  <si>
    <t xml:space="preserve">0.00143027314024062</t>
  </si>
  <si>
    <t xml:space="preserve">STAM binding protein</t>
  </si>
  <si>
    <t xml:space="preserve">FUNCTION: Zinc metalloprotease that specifically cleaves 'Lys-63'- linked polyubiquitin chains. Does not cleave 'Lys-48'-linked polyubiquitin chains (By similarity). Plays a role in signal transduction for cell growth and MYC induction mediated by IL-2 and GM-CSF. Potentiates BMP (bone morphogenetic protein) signaling by antagonizing the inhibitory action of SMAD6 and SMAD7. Has a key role in regulation of cell surface receptor-mediated endocytosis and ubiquitin-dependent sorting of receptors to lysosomes. Endosomal localization of STAMBP is required for efficient EGFR degradation but not for its internalization (By similarity). Involved in the negative regulation of PI3K-AKT-mTOR and RAS-MAP signaling pathways. {ECO:0000250, ECO:0000269|PubMed:10383417, ECO:0000269|PubMed:11483516, ECO:0000269|PubMed:15314065, ECO:0000269|PubMed:17261583, ECO:0000269|PubMed:23542699}.; </t>
  </si>
  <si>
    <t xml:space="preserve">DISEASE: Microcephaly-capillary malformation syndrome (MICCAP) [MIM:614261]: A congenital disorder characterized by severe progressive microcephaly, early-onset refractory epilepsy, profound developmental delay, and multiple small capillary malformations spread diffusely on the body. Additional more variable features include dysmorphic facial features, distal limb abnormalities, and mild heart defects. {ECO:0000269|PubMed:23542699}. Note=The disease is caused by mutations affecting the gene represented in this entry.; </t>
  </si>
  <si>
    <t xml:space="preserve">236.64</t>
  </si>
  <si>
    <t xml:space="preserve">7,8</t>
  </si>
  <si>
    <t xml:space="preserve">0.000223494727431832</t>
  </si>
  <si>
    <t xml:space="preserve">dynein axonemal heavy chain 6</t>
  </si>
  <si>
    <t xml:space="preserve">FUNCTION: Force generating protein of respiratory cilia. Produces force towards the minus ends of microtubules. Dynein has ATPase activity; the force-producing power stroke is thought to occur on release of ADP (By similarity). {ECO:0000250}.; </t>
  </si>
  <si>
    <t xml:space="preserve">745.64</t>
  </si>
  <si>
    <t xml:space="preserve">43</t>
  </si>
  <si>
    <t xml:space="preserve">16,27</t>
  </si>
  <si>
    <t xml:space="preserve">0.0316077960336367</t>
  </si>
  <si>
    <t xml:space="preserve">ubiquitin specific peptidase 39</t>
  </si>
  <si>
    <t xml:space="preserve">FUNCTION: Plays a role in pre-mRNA splicing as a component of the U4/U6-U5 tri-snRNP, one of the building blocks of the spliceosome. Regulates AURKB mRNA levels, and thereby plays a role in cytokinesis and in the spindle checkpoint. Does not have ubiquitin-specific peptidase activity, but could be a competitor of ubiquitin C-terminal hydrolases (UCHs). {ECO:0000269|PubMed:11350945, ECO:0000269|PubMed:18728397}.; </t>
  </si>
  <si>
    <t xml:space="preserve">7091.64</t>
  </si>
  <si>
    <t xml:space="preserve">445</t>
  </si>
  <si>
    <t xml:space="preserve">206,239</t>
  </si>
  <si>
    <t xml:space="preserve">intronic;ncRNA_exonic;ncRNA_intronic;splicing</t>
  </si>
  <si>
    <t xml:space="preserve">ENST00000575193:exon12:c.903-1G&gt;A</t>
  </si>
  <si>
    <t xml:space="preserve">ankyrin repeat domain 36B pseudogene 2</t>
  </si>
  <si>
    <t xml:space="preserve">TCGT</t>
  </si>
  <si>
    <t xml:space="preserve">1089.60</t>
  </si>
  <si>
    <t xml:space="preserve">159</t>
  </si>
  <si>
    <t xml:space="preserve">124,35</t>
  </si>
  <si>
    <t xml:space="preserve">ANKRD36C:NM_001310154:exon85:c.6141_6144del:p.K2047Nfs*18;dist=26830;dist=2194;ENSG00000174501:ENST00000420871:exon55:c.2796_2799del:p.K932Nfs*18,ENSG00000174501:ENST00000419039:exon56:c.2124_2127del:p.K708Nfs*18,ENSG00000174501:ENST00000456556:exon64:c.5043_5046del:p.K1681Nfs*18</t>
  </si>
  <si>
    <t xml:space="preserve">TTTT</t>
  </si>
  <si>
    <t xml:space="preserve">2057.60</t>
  </si>
  <si>
    <t xml:space="preserve">705</t>
  </si>
  <si>
    <t xml:space="preserve">611,94</t>
  </si>
  <si>
    <t xml:space="preserve">ANKRD36C:NM_001310154:exon84:c.5859_5862del:p.K1953Nfs*35;dist=508;ENSG00000174501:ENST00000420871:exon54:c.2514_2517del:p.K838Nfs*35,ENSG00000174501:ENST00000419039:exon55:c.1842_1845del:p.K614Nfs*35,ENSG00000174501:ENST00000456556:exon63:c.4761_4764del:p.K1587Nfs*35</t>
  </si>
  <si>
    <t xml:space="preserve">536.60</t>
  </si>
  <si>
    <t xml:space="preserve">896</t>
  </si>
  <si>
    <t xml:space="preserve">805,91</t>
  </si>
  <si>
    <t xml:space="preserve">ANKRD36C:NM_001310154:exon84:c.5658dupT:p.E1887*;dist=308;ENSG00000174501:ENST00000420871:exon54:c.2313dupT:p.E772*,ENSG00000174501:ENST00000419039:exon55:c.1641dupT:p.E548*,ENSG00000174501:ENST00000456556:exon63:c.4560dupT:p.E1521*</t>
  </si>
  <si>
    <t xml:space="preserve">12782.60</t>
  </si>
  <si>
    <t xml:space="preserve">772</t>
  </si>
  <si>
    <t xml:space="preserve">337,435</t>
  </si>
  <si>
    <t xml:space="preserve">ANKRD36C:NM_001310154:exon84:c.5629dupC:p.L1877Pfs*9;dist=279;ENSG00000174501:ENST00000420871:exon54:c.2284dupC:p.L762Pfs*9,ENSG00000174501:ENST00000419039:exon55:c.1612dupC:p.L538Pfs*9,ENSG00000174501:ENST00000456556:exon63:c.4531dupC:p.L1511Pfs*9</t>
  </si>
  <si>
    <t xml:space="preserve">18165.60</t>
  </si>
  <si>
    <t xml:space="preserve">711</t>
  </si>
  <si>
    <t xml:space="preserve">223,488</t>
  </si>
  <si>
    <t xml:space="preserve">ANKRD36C:NM_001310154:exon84:c.5627_5628insA:p.L1877Sfs*9;dist=277;ENSG00000174501:ENST00000420871:exon54:c.2282_2283insA:p.L762Sfs*9,ENSG00000174501:ENST00000419039:exon55:c.1610_1611insA:p.L538Sfs*9,ENSG00000174501:ENST00000456556:exon63:c.4529_4530insA:p.L1511Sfs*9</t>
  </si>
  <si>
    <t xml:space="preserve">TG</t>
  </si>
  <si>
    <t xml:space="preserve">20109.60</t>
  </si>
  <si>
    <t xml:space="preserve">742</t>
  </si>
  <si>
    <t xml:space="preserve">226,516</t>
  </si>
  <si>
    <t xml:space="preserve">ANKRD36C:NM_001310154:exon84:c.5623_5624del:p.H1875Cfs*10;dist=272;ENSG00000174501:ENST00000420871:exon54:c.2278_2279del:p.H760Cfs*10,ENSG00000174501:ENST00000419039:exon55:c.1606_1607del:p.H536Cfs*10,ENSG00000174501:ENST00000456556:exon63:c.4525_4526del:p.H1509Cfs*10</t>
  </si>
  <si>
    <t xml:space="preserve">AC</t>
  </si>
  <si>
    <t xml:space="preserve">257.60</t>
  </si>
  <si>
    <t xml:space="preserve">816</t>
  </si>
  <si>
    <t xml:space="preserve">735,81</t>
  </si>
  <si>
    <t xml:space="preserve">ANKRD36C:NM_001310154:exon84:c.5619_5620insGT:p.S1874Vfs*5;dist=269;ENSG00000174501:ENST00000420871:exon54:c.2274_2275insGT:p.S759Vfs*5,ENSG00000174501:ENST00000419039:exon55:c.1602_1603insGT:p.S535Vfs*5,ENSG00000174501:ENST00000456556:exon63:c.4521_4522insGT:p.S1508Vfs*5</t>
  </si>
  <si>
    <t xml:space="preserve">754.64</t>
  </si>
  <si>
    <t xml:space="preserve">11,25</t>
  </si>
  <si>
    <t xml:space="preserve">intergenic;intronic</t>
  </si>
  <si>
    <t xml:space="preserve">dist=5052;dist=98000</t>
  </si>
  <si>
    <t xml:space="preserve">244.64</t>
  </si>
  <si>
    <t xml:space="preserve">9,9</t>
  </si>
  <si>
    <t xml:space="preserve">0.064375261486792</t>
  </si>
  <si>
    <t xml:space="preserve">coiled-coil domain containing 93</t>
  </si>
  <si>
    <t xml:space="preserve">FUNCTION: Involved in copper-dependent ATP7A trafficking between the trans-Golgi network and vesicles in the cell periphery; the function is proposed to depend on its association within the CCC complex and cooperation with the WASH complex on early endosomes and is dependent on its interaction with FAM21C (PubMed:25355947). {ECO:0000269|PubMed:25355947}.; </t>
  </si>
  <si>
    <t xml:space="preserve">118.64</t>
  </si>
  <si>
    <t xml:space="preserve">6.3829496749846e-16</t>
  </si>
  <si>
    <t xml:space="preserve">myosin VIIB</t>
  </si>
  <si>
    <t xml:space="preserve">FUNCTION: Myosins are actin-based motor molecules with ATPase activity. Their highly divergent tails are presumed to bind to membranous compartments, which would be moved relative to actin filaments. May be have a role in the apical membranes of transporting epithelia (By similarity). {ECO:0000250}.; </t>
  </si>
  <si>
    <t xml:space="preserve">14</t>
  </si>
  <si>
    <t xml:space="preserve">9,5</t>
  </si>
  <si>
    <t xml:space="preserve">POTE ankyrin domain family member J</t>
  </si>
  <si>
    <t xml:space="preserve">384.64</t>
  </si>
  <si>
    <t xml:space="preserve">45,13</t>
  </si>
  <si>
    <t xml:space="preserve">ankyrin repeat domain 30B-like</t>
  </si>
  <si>
    <t xml:space="preserve">1067.64</t>
  </si>
  <si>
    <t xml:space="preserve">100</t>
  </si>
  <si>
    <t xml:space="preserve">53,47</t>
  </si>
  <si>
    <t xml:space="preserve">NM_001289763:exon5:c.917-1G&gt;C;NM_199204:exon6:c.737-1G&gt;C;NM_001142270:exon6:c.737-1G&gt;C;NM_001142271:exon5:c.737-1G&gt;C;uc002uep.3:exon8:c.737-1G&gt;C;uc002ueq.3:exon6:c.737-1G&gt;C;uc010zdc.2:exon5:c.917-1G&gt;C;uc010zdd.2:exon6:c.737-1G&gt;C;uc010zde.2:exon5:c.737-1G&gt;C;ENST00000327239:exon8:c.737-1G&gt;C;ENST00000602501:exon8:c.737-1G&gt;C;ENST00000357546:exon6:c.737-1G&gt;C;ENST00000432060:exon5:c.917-1G&gt;C;ENST00000428522:exon6:c.737-1G&gt;C;ENST00000421653:exon5:c.296-1G&gt;C;ENST00000436483:exon6:c.737-1G&gt;C;ENST00000412271:exon5:c.737-1G&gt;C</t>
  </si>
  <si>
    <t xml:space="preserve">2.60804336160151e-07</t>
  </si>
  <si>
    <t xml:space="preserve">dehydrogenase/reductase (SDR family) member 9</t>
  </si>
  <si>
    <t xml:space="preserve">FUNCTION: 3-alpha-hydroxysteroid dehydrogenase that converts 3- alpha-tetrahydroprogesterone (allopregnanolone) to dihydroxyprogesterone and 3-alpha-androstanediol to dihydroxyprogesterone. May play a role in the biosynthesis of retinoic acid from retinaldehyde, but seems to have low activity with retinoids. Can utilize both NADH and NADPH. {ECO:0000269|PubMed:11294878, ECO:0000269|PubMed:11304534, ECO:0000269|PubMed:12618084}.; </t>
  </si>
  <si>
    <t xml:space="preserve">1064.02</t>
  </si>
  <si>
    <t xml:space="preserve">2,17,16</t>
  </si>
  <si>
    <t xml:space="preserve">8.79556820389947e-06</t>
  </si>
  <si>
    <t xml:space="preserve">cholinergic receptor nicotinic alpha 1 subunit</t>
  </si>
  <si>
    <t xml:space="preserve">FUNCTION: After binding acetylcholine, the AChR responds by an extensive change in conformation that affects all subunits and leads to opening of an ion-conducting channel across the plasma membrane.; </t>
  </si>
  <si>
    <t xml:space="preserve">DISEASE: Note=The alpha subunit is the main focus for antibody binding in myasthenia gravis. Myasthenia gravis is characterized by sporadic muscular fatigability and weakness, occurring chiefly in muscles innervated by cranial nerves, and characteristically improved by cholinesterase-inhibiting drugs.; DISEASE: Myasthenic syndrome, congenital, 1A, slow-channel (CMS1A) [MIM:601462]: A common congenital myasthenic syndrome. Congenital myasthenic syndromes are characterized by muscle weakness affecting the axial and limb muscles (with hypotonia in early- onset forms), the ocular muscles (leading to ptosis and ophthalmoplegia), and the facial and bulbar musculature (affecting sucking and swallowing, and leading to dysphonia). The symptoms fluctuate and worsen with physical effort. CMS1A is a slow-channel myasthenic syndrome. It is caused by kinetic abnormalities of the AChR, resulting in prolonged AChR channel opening episodes, prolonged endplate currents, and depolarization block. This is associated with calcium overload, which may contribute to subsequent degeneration of the endplate and postsynaptic membrane. {ECO:0000269|PubMed:16685696, ECO:0000269|PubMed:7619526, ECO:0000269|PubMed:8872460, ECO:0000269|PubMed:9158151, ECO:0000269|PubMed:9221765}. Note=The disease is caused by mutations affecting the gene represented in this entry.; DISEASE: Myasthenic syndrome, congenital, 1B, fast-channel (CMS1B) [MIM:608930]: A form of congenital myasthenic syndrome, a group of disorders characterized by failure of neuromuscular transmission, including pre-synaptic, synaptic, and post-synaptic disorders that are not of autoimmune origin. Clinical features are easy fatigability and muscle weakness affecting the axial and limb muscles (with hypotonia in early-onset forms), the ocular muscles (leading to ptosis and ophthalmoplegia), and the facial and bulbar musculature (affecting sucking and swallowing, and leading to dysphonia). The symptoms fluctuate and worsen with physical effort. CMS1B is a fast-channel myasthenic syndrome. It is caused by kinetic abnormalities of the AChR, resulting in brief opening and activity of the channel, with a rapid decay in endplate current, failure to achieve threshold depolarization of the endplate and consequent failure to fire an action potential. {ECO:0000269|PubMed:10195214, ECO:0000269|PubMed:12588888, ECO:0000269|PubMed:15079006}. Note=The disease is caused by mutations affecting the gene represented in this entry.; </t>
  </si>
  <si>
    <t xml:space="preserve">113.60</t>
  </si>
  <si>
    <t xml:space="preserve">35,9</t>
  </si>
  <si>
    <t xml:space="preserve">1;2</t>
  </si>
  <si>
    <t xml:space="preserve">4.16725018760818e-31</t>
  </si>
  <si>
    <t xml:space="preserve">phosphodiesterase 11A</t>
  </si>
  <si>
    <t xml:space="preserve">FUNCTION: Plays a role in signal transduction by regulating the intracellular concentration of cyclic nucleotides cAMP and cGMP. Catalyzes the hydrolysis of both cAMP and cGMP to 5'-AMP and 5'- GMP, respectively. {ECO:0000269|PubMed:10725373, ECO:0000269|PubMed:10906126, ECO:0000269|PubMed:11050148}.; </t>
  </si>
  <si>
    <t xml:space="preserve">DISEASE: Primary pigmented nodular adrenocortical disease 2 (PPNAD2) [MIM:610475]: A rare bilateral adrenal defect causing ACTH-independent Cushing syndrome. Macroscopic appearance of the adrenals is characteristic with small pigmented micronodules observed in the cortex. Adrenal glands show overall normal size and weight, and multiple small yellow-to-dark brown nodules surrounded by a cortex with a uniform appearance. Microscopically, there are moderate diffuse cortical hyperplasia with mostly nonpigmented nodules, multiple capsular deficits and massive circumscribed and infiltrating extra-adrenal cortical excrescences with micronodules. Clinical manifestations of Cushing syndrome include facial and truncal obesity, abdominal striae, muscular weakness, osteoporosis, arterial hypertension, diabetes. {ECO:0000269|PubMed:16767104}. Note=The disease is caused by mutations affecting the gene represented in this entry.; </t>
  </si>
  <si>
    <t xml:space="preserve">442.64</t>
  </si>
  <si>
    <t xml:space="preserve">23,17</t>
  </si>
  <si>
    <t xml:space="preserve">TT</t>
  </si>
  <si>
    <t xml:space="preserve">448.02</t>
  </si>
  <si>
    <t xml:space="preserve">37</t>
  </si>
  <si>
    <t xml:space="preserve">4,19,14</t>
  </si>
  <si>
    <t xml:space="preserve">636.64</t>
  </si>
  <si>
    <t xml:space="preserve">11,22</t>
  </si>
  <si>
    <t xml:space="preserve">3.16369314039825e-09</t>
  </si>
  <si>
    <t xml:space="preserve">SP110 nuclear body protein</t>
  </si>
  <si>
    <t xml:space="preserve">FUNCTION: Transcription factor. May be a nuclear hormone receptor coactivator. Enhances transcription of genes with retinoic acid response elements (RARE).; </t>
  </si>
  <si>
    <t xml:space="preserve">DISEASE: Hepatic venoocclusive disease with immunodeficiency (VODI) [MIM:235550]: Autosomal recessive primary immunodeficiency associated with hepatic vascular occlusion and fibrosis. The immunodeficiency is characterized by severe hypogammaglobulinemia, combined T and B-cell immunodeficiency, absent lymph node germinal centers, and absent tissue plasma cells. {ECO:0000269|PubMed:16648851}. Note=The disease is caused by mutations affecting the gene represented in this entry.; </t>
  </si>
  <si>
    <t xml:space="preserve">570.59</t>
  </si>
  <si>
    <t xml:space="preserve">69,28</t>
  </si>
  <si>
    <t xml:space="preserve">UTR5;exonic</t>
  </si>
  <si>
    <t xml:space="preserve">SEPTIN2:NM_001349287:exon3:c.111_112del:p.F42Lfs*16;uc002wbc.3:c.-6697_-6696del-;uc002wbh.3:c.-6697_-6696del-;ENST00000360051:c.-6697_-6696del-;ENST00000428524:c.-6697_-6696del-;ENST00000401990:c.-6697_-6696del-;ENST00000436795:c.-6697_-6696del-;ENST00000441533:c.-6697_-6696del-;ENST00000425899:c.-6697_-6696del-;ENST00000429791:c.-6697_-6696del-;ENST00000420786:c.-6697_-6696del-</t>
  </si>
  <si>
    <t xml:space="preserve">0.866554502924365</t>
  </si>
  <si>
    <t xml:space="preserve">septin 2</t>
  </si>
  <si>
    <t xml:space="preserve">FUNCTION: Filament-forming cytoskeletal GTPase. Required for normal organization of the actin cytoskeleton. Plays a role in the biogenesis of polarized columnar-shaped epithelium by maintaining polyglutamylated microtubules, thus facilitating efficient vesicle transport, and by impeding MAP4 binding to tubulin. Required for the progression through mitosis. Forms a scaffold at the midplane of the mitotic splindle required to maintain CENPE localization at kinetochores and consequently chromosome congression. During anaphase, may be required for chromosome segregation and spindle elongation. Plays a role in ciliogenesis and collective cell movements. In cilia, required for the integrity of the diffusion barrier at the base of the primary cilium that prevents diffusion of transmembrane proteins between the cilia and plasma membranes: probably acts by regulating the assembly of the tectonic-like complex (also named B9 complex) by localizing TMEM231 protein. May play a role in the internalization of 2 intracellular microbial pathogens, Listeria monocytogenes and Shigella flexneri. {ECO:0000269|PubMed:15774761, ECO:0000269|PubMed:17803907, ECO:0000269|PubMed:18209106, ECO:0000269|PubMed:19145258}.; </t>
  </si>
  <si>
    <t xml:space="preserve">241.64</t>
  </si>
  <si>
    <t xml:space="preserve">4,7</t>
  </si>
  <si>
    <t xml:space="preserve">ncRNA_intronic</t>
  </si>
  <si>
    <t xml:space="preserve">SNAP25 antisense RNA 1</t>
  </si>
  <si>
    <t xml:space="preserve">484.64</t>
  </si>
  <si>
    <t xml:space="preserve">52</t>
  </si>
  <si>
    <t xml:space="preserve">34,18</t>
  </si>
  <si>
    <t xml:space="preserve">kizuna centrosomal protein</t>
  </si>
  <si>
    <t xml:space="preserve">FUNCTION: Centrosomal protein required for establishing a robust mitotic centrosome architecture that can endure the forces that converge on the centrosomes during spindle formation. Required for stabilizing the expanded pericentriolar material around the centriole. {ECO:0000269|PubMed:16980960}.; </t>
  </si>
  <si>
    <t xml:space="preserve">DISEASE: Retinitis pigmentosa 69 (RP69) [MIM:615780]: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{ECO:0000269|PubMed:24680887}. Note=The disease is caused by mutations affecting the gene represented in this entry.; </t>
  </si>
  <si>
    <t xml:space="preserve">2409.60</t>
  </si>
  <si>
    <t xml:space="preserve">65,76</t>
  </si>
  <si>
    <t xml:space="preserve">NANP:NM_152667:exon2:c.289delT:p.Y97Ifs*12;NANP:uc002wuy.3:exon2:c.289delT:p.Y97Ifs*12;ENSG00000170191:ENST00000304788:exon2:c.289delT:p.Y97Ifs*12</t>
  </si>
  <si>
    <t xml:space="preserve">0.0265416473766969</t>
  </si>
  <si>
    <t xml:space="preserve">N-acetylneuraminic acid phosphatase</t>
  </si>
  <si>
    <t xml:space="preserve">949.64</t>
  </si>
  <si>
    <t xml:space="preserve">87</t>
  </si>
  <si>
    <t xml:space="preserve">47,40</t>
  </si>
  <si>
    <t xml:space="preserve">0.000219668008201055</t>
  </si>
  <si>
    <t xml:space="preserve">dual specificity phosphatase 15</t>
  </si>
  <si>
    <t xml:space="preserve">10,26</t>
  </si>
  <si>
    <t xml:space="preserve">1.27011210022581e-05</t>
  </si>
  <si>
    <t xml:space="preserve">BPI fold containing family B member 3</t>
  </si>
  <si>
    <t xml:space="preserve">FUNCTION: May have the capacity to recognize and bind specific classes of odorants. May act as a carrier molecule, transporting odorants across the mucus layer to access receptor sites. May serve as a primary defense mechanism by recognizing and removing potentially harmful odorants or pathogenic microorganisms from the mucosa or clearing excess odorant from mucus to enable new odorant stimuli to be received (By similarity). {ECO:0000250}.; </t>
  </si>
  <si>
    <t xml:space="preserve">43.60</t>
  </si>
  <si>
    <t xml:space="preserve">74</t>
  </si>
  <si>
    <t xml:space="preserve">64,10</t>
  </si>
  <si>
    <t xml:space="preserve">NM_002895:exon3:c.291-2-&gt;T;NM_001323282:exon3:UTR5;NM_001323281:exon3:UTR5;NM_183404:exon3:c.291-2-&gt;T;uc002xgi.3:exon3:c.291-2-&gt;T;uc002xgj.1:exon3:c.291-2-&gt;T;ENST00000373664:exon3:c.291-2-&gt;T;ENST00000344359:exon3:c.291-2-&gt;T;ENST00000527999:exon4:c.433-2-&gt;T;ENST00000527999:exon4:UTR3</t>
  </si>
  <si>
    <t xml:space="preserve">1.76076225583568e-05</t>
  </si>
  <si>
    <t xml:space="preserve">retinoblastoma-like 1</t>
  </si>
  <si>
    <t xml:space="preserve">FUNCTION: Key regulator of entry into cell division. Directly involved in heterochromatin formation by maintaining overall chromatin structure and, in particular, that of constitutive heterochromatin by stabilizing histone methylation. Recruits and targets histone methyltransferases SUV420H1 and SUV420H2, leading to epigenetic transcriptional repression. Controls histone H4 'Lys-20' trimethylation. Probably acts as a transcription repressor by recruiting chromatin-modifying enzymes to promoters. Potent inhibitor of E2F-mediated trans-activation. Forms a complex with adenovirus E1A and with SV40 large T antigen. May bind and modulate functionally certain cellular proteins with which T and E1A compete for pocket binding. May act as a tumor suppressor.; </t>
  </si>
  <si>
    <t xml:space="preserve">617.64</t>
  </si>
  <si>
    <t xml:space="preserve">24,26</t>
  </si>
  <si>
    <t xml:space="preserve">0.69764496881077</t>
  </si>
  <si>
    <t xml:space="preserve">protein tyrosine phosphatase, non-receptor type 1</t>
  </si>
  <si>
    <t xml:space="preserve">FUNCTION: Tyrosine-protein phosphatase which acts as a regulator of endoplasmic reticulum unfolded protein response. Mediates dephosphorylation of EIF2AK3/PERK; inactivating the protein kinase activity of EIF2AK3/PERK. May play an important role in CKII- and p60c-src-induced signal transduction cascades. May regulate the EFNA5-EPHA3 signaling pathway which modulates cell reorganization and cell-cell repulsion. May also regulate the hepatocyte growth factor receptor signaling pathway through dephosphorylation of MET. {ECO:0000269|PubMed:18819921, ECO:0000269|PubMed:21135139, ECO:0000269|PubMed:22169477}.; </t>
  </si>
  <si>
    <t xml:space="preserve">919.64</t>
  </si>
  <si>
    <t xml:space="preserve">66,44</t>
  </si>
  <si>
    <t xml:space="preserve">0.9995400816303</t>
  </si>
  <si>
    <t xml:space="preserve">GNAS complex locus</t>
  </si>
  <si>
    <t xml:space="preserve">DISEASE: ACTH-independent macronodular adrenal hyperplasia 1 (AIMAH1) [MIM:219080]: A rare adrenal defect characterized by multiple, bilateral, non-pigmented, benign, adrenocortical nodules. It results in excessive production of cortisol leading to ACTH-independent Cushing syndrome. Clinical manifestations of Cushing syndrome include facial and truncal obesity, abdominal striae, muscular weakness, osteoporosis, arterial hypertension, diabetes. {ECO:0000269|PubMed:12727968}. Note=The disease is caused by mutations affecting the gene represented in this entry.; DISEASE: Pseudohypoparathyroidism 1B (PHP1B) [MIM:603233]: A disorder characterized by end-organ resistance to parathyroid hormone, hypocalcemia and hyperphosphatemia. Patients affected with PHP1B lack developmental defects characteristic of Albright hereditary osteodystrophy, and typically show no other endocrine abnormalities besides resistance to PTH. {ECO:0000269|PubMed:11029463, ECO:0000269|PubMed:11067869, ECO:0000269|PubMed:11294659, ECO:0000269|PubMed:12858292, ECO:0000269|PubMed:14561710, ECO:0000269|PubMed:15592469, ECO:0000269|PubMed:15800843}. Note=The disease is caused by mutations affecting the gene represented in this entry. Most affected individuals have defects in methylation of the gene. In some cases microdeletions involving the STX16 appear to cause loss of methylation at exon A/B of GNAS, resulting in PHP1B. Paternal uniparental isodisomy have also been observed.; DISEASE: GNAS hyperfunction (GNASHYP) [MIM:139320]: This condition is characterized by increased trauma-related bleeding tendency, prolonged bleeding time, brachydactyly and mental retardation. Both the XLas isoforms and the ALEX protein are mutated which strongly reduces the interaction between them and this may allow unimpeded activation of the XLas isoforms. Note=The disease is caused by mutations affecting the gene represented in this entry.; </t>
  </si>
  <si>
    <t xml:space="preserve">0</t>
  </si>
  <si>
    <t xml:space="preserve">111.90</t>
  </si>
  <si>
    <t xml:space="preserve">0,5,3</t>
  </si>
  <si>
    <t xml:space="preserve">3;3</t>
  </si>
  <si>
    <t xml:space="preserve">0.777758475451746</t>
  </si>
  <si>
    <t xml:space="preserve">RTEL1-TNFRSF6B readthrough (NMD candidate);regulator of telomere elongation helicase 1</t>
  </si>
  <si>
    <t xml:space="preserve">FUNCTION: ATP-dependent DNA helicase implicated in telomere-length regulation, DNA repair and the maintenance of genomic stability. Acts as an anti-recombinase to counteract toxic recombination and limit crossover during meiosis. Regulates meiotic recombination and crossover homeostasis by physically dissociating strand invasion events and thereby promotes noncrossover repair by meiotic synthesis dependent strand annealing (SDSA) as well as disassembly of D loop recombination intermediates. Also disassembles T loops and prevents telomere fragility by counteracting telomeric G4-DNA structures, which together ensure the dynamics and stability of the telomere. {ECO:0000255|HAMAP- Rule:MF_03065, ECO:0000269|PubMed:18957201, ECO:0000269|PubMed:23453664, ECO:0000269|PubMed:24009516}.; </t>
  </si>
  <si>
    <t xml:space="preserve">DISEASE: Dyskeratosis congenita, autosomal recessive, 5 (DKCB5) [MIM:615190]: A form of dyskeratosis congenita, a rare multisystem disorder caused by defective telomere maintenance. It is characterized by progressive bone marrow failure, and the clinical triad of reticulated skin hyperpigmentation, nail dystrophy, and mucosal leukoplakia. Common but variable features include premature graying, aplastic anemia, low platelets, osteoporosis, pulmonary fibrosis, and liver fibrosis among others. Early mortality is often associated with bone marrow failure, infections, fatal pulmonary complications, or malignancy. DKCB5 is characterized by onset of bone marrow failure and immunodeficiency in early childhood. Most patients also have growth and developmental delay and cerebellar hypoplasia, consistent with a clinical diagnosis of Hoyeraal-Hreidarsson syndrome. {ECO:0000269|PubMed:23329068, ECO:0000269|PubMed:23453664, ECO:0000269|PubMed:23591994, ECO:0000269|PubMed:23959892, ECO:0000269|PubMed:24009516}. Note=The disease is caused by mutations affecting the gene represented in this entry. RTEL1 mutations have also been found in patients with a dyskeratosis congenita-like phenotype consisting of one feature of dyskeratosis congenita and short telomeres, in the absence of the typical DKC diagnostic triad (PubMed:23329068). {ECO:0000269|PubMed:23329068}.; DISEASE: Dyskeratosis congenita, autosomal dominant, 4 (DKCA4) [MIM:615190]: A rare multisystem disorder caused by defective telomere maintenance. It is characterized by progressive bone marrow failure, and the clinical triad of reticulated skin hyperpigmentation, nail dystrophy, and mucosal leukoplakia. Common but variable features include premature graying, aplastic anemia, low platelets, osteoporosis, pulmonary fibrosis, and liver fibrosis among others. Early mortality is often associated with bone marrow failure, infections, fatal pulmonary complications, or malignancy. {ECO:0000269|PubMed:23329068}. Note=The disease is caused by mutations affecting the gene represented in this entry.; DISEASE: Pulmonary fibrosis, and/or bone marrow failure, telomere- related, 3 (PFBMFT3) [MIM:616373]: A disease associated with shortened telomeres. Pulmonary fibrosis is the most common manifestation. Other manifestations include aplastic anemia due to bone marrow failure, hepatic fibrosis, and increased cancer risk, particularly myelodysplastic syndrome and acute myeloid leukemia. Phenotype, age at onset, and severity are determined by telomere length. {ECO:0000269|PubMed:25848748}. Note=The disease is caused by mutations affecting the gene represented in this entry.; </t>
  </si>
  <si>
    <t xml:space="preserve">ACCT</t>
  </si>
  <si>
    <t xml:space="preserve">111.88</t>
  </si>
  <si>
    <t xml:space="preserve">392.64</t>
  </si>
  <si>
    <t xml:space="preserve">24</t>
  </si>
  <si>
    <t xml:space="preserve">10,14</t>
  </si>
  <si>
    <t xml:space="preserve">0.0123297627205191</t>
  </si>
  <si>
    <t xml:space="preserve">protein-L-isoaspartate (D-aspartate) O-methyltransferase domain containing 2</t>
  </si>
  <si>
    <t xml:space="preserve">863.64</t>
  </si>
  <si>
    <t xml:space="preserve">102,42</t>
  </si>
  <si>
    <t xml:space="preserve">5.11403738742454e-31</t>
  </si>
  <si>
    <t xml:space="preserve">transmembrane phosphatase with tensin homology</t>
  </si>
  <si>
    <t xml:space="preserve">FUNCTION: Could be involved in signal transduction.; </t>
  </si>
  <si>
    <t xml:space="preserve">3535.64</t>
  </si>
  <si>
    <t xml:space="preserve">171</t>
  </si>
  <si>
    <t xml:space="preserve">75,96</t>
  </si>
  <si>
    <t xml:space="preserve">intergenic;splicing</t>
  </si>
  <si>
    <t xml:space="preserve">dist=253183;dist=34951;dist=253183;dist=34951;ENST00000540061:exon3:c.118+1G&gt;A</t>
  </si>
  <si>
    <t xml:space="preserve">4481.64</t>
  </si>
  <si>
    <t xml:space="preserve">236</t>
  </si>
  <si>
    <t xml:space="preserve">115,121</t>
  </si>
  <si>
    <t xml:space="preserve">dist=253229;dist=34905;dist=253229;dist=34905</t>
  </si>
  <si>
    <t xml:space="preserve">517.64</t>
  </si>
  <si>
    <t xml:space="preserve">22,18</t>
  </si>
  <si>
    <t xml:space="preserve">0.999874192317744</t>
  </si>
  <si>
    <t xml:space="preserve">MORC family CW-type zinc finger 3</t>
  </si>
  <si>
    <t xml:space="preserve">FUNCTION: Nuclear factor which forms MORC3-NBs (nuclear bodies) via an ATP-dependent mechanism (PubMed:20501696). Sumoylated MORC3-NBs can also associate with PML-NBs (PubMed:20501696). Recruits TP53 and SP100 to PML-NBs, thus regulating TP53 activity (PubMed:17332504). Binds RNA in vitro (PubMed:11927593). May be required for influenza A transcription during viral infection (PubMed:26202233). {ECO:0000269|PubMed:11927593, ECO:0000269|PubMed:17332504, ECO:0000269|PubMed:20501696, ECO:0000269|PubMed:26202233}.; </t>
  </si>
  <si>
    <t xml:space="preserve">210.64</t>
  </si>
  <si>
    <t xml:space="preserve">3,7</t>
  </si>
  <si>
    <t xml:space="preserve">0.952644808591658</t>
  </si>
  <si>
    <t xml:space="preserve">beta-site APP-cleaving enzyme 2</t>
  </si>
  <si>
    <t xml:space="preserve">FUNCTION: Responsible for the proteolytic processing of the amyloid precursor protein (APP). Cleaves APP, between residues 690 and 691, leading to the generation and extracellular release of beta-cleaved soluble APP, and a corresponding cell-associated C- terminal fragment which is later released by gamma-secretase. It has also been shown that it can cleave APP between residues 671 and 672. {ECO:0000269|PubMed:10591213, ECO:0000269|PubMed:11083922, ECO:0000269|PubMed:11423558, ECO:0000269|PubMed:15857888, ECO:0000269|PubMed:16816112}.; </t>
  </si>
  <si>
    <t xml:space="preserve">696.64</t>
  </si>
  <si>
    <t xml:space="preserve">24,24</t>
  </si>
  <si>
    <t xml:space="preserve">1.25678875267047e-06</t>
  </si>
  <si>
    <t xml:space="preserve">DNA (cytosine-5-)-methyltransferase 3-like</t>
  </si>
  <si>
    <t xml:space="preserve">FUNCTION: Catalytically inactive regulatory factor of DNA methyltransferases. It is essential for the function of DNMT3A and DNMT3B. Activates DNMT3A and DNMT3B by binding to their catalytic domain. Accelerates the binding of DNA and AdoMet to the methyltransferases and dissociates from the complex after DNA binding to the methyltransferases. Recognizes unmethylated histone H3 lysine 4 (H3K4) and induces de novo DNA methylation by recruitment or activation of DNMT3. {ECO:0000269|PubMed:17687327}.; </t>
  </si>
  <si>
    <t xml:space="preserve">1778.60</t>
  </si>
  <si>
    <t xml:space="preserve">132</t>
  </si>
  <si>
    <t xml:space="preserve">65,67</t>
  </si>
  <si>
    <t xml:space="preserve">KRTAP10-3:NM_198696:exon1:c.123delC:p.C42Afs*2;KRTAP10-3:uc002zfj.1:exon1:c.123delC:p.C42Afs*2;ENSG00000212935:ENST00000391620:exon1:c.123delC:p.C42Afs*2</t>
  </si>
  <si>
    <t xml:space="preserve">0.0652460719862998</t>
  </si>
  <si>
    <t xml:space="preserve">keratin associated protein 10-3</t>
  </si>
  <si>
    <t xml:space="preserve">657.64</t>
  </si>
  <si>
    <t xml:space="preserve">34,24</t>
  </si>
  <si>
    <t xml:space="preserve">4.22237843707503e-06</t>
  </si>
  <si>
    <t xml:space="preserve">transport and golgi organization 2 homolog</t>
  </si>
  <si>
    <t xml:space="preserve">711.64</t>
  </si>
  <si>
    <t xml:space="preserve">225</t>
  </si>
  <si>
    <t xml:space="preserve">185,40</t>
  </si>
  <si>
    <t xml:space="preserve">ncRNA_splicing;splicing</t>
  </si>
  <si>
    <t xml:space="preserve">NR_027293:exon11:c.1706-1G&gt;C;uc011aiq.1:exon11:c.1706-1G&gt;C;uc031rxg.1:exon38:c.3644-1G&gt;C;ENST00000390290:exon2:c.47-1G&gt;C</t>
  </si>
  <si>
    <t xml:space="preserve">1;1;2</t>
  </si>
  <si>
    <t xml:space="preserve">BMS1, ribosome biogenesis factor pseudogene 20</t>
  </si>
  <si>
    <t xml:space="preserve">62.64</t>
  </si>
  <si>
    <t xml:space="preserve">111</t>
  </si>
  <si>
    <t xml:space="preserve">97,14</t>
  </si>
  <si>
    <t xml:space="preserve">1;2;2</t>
  </si>
  <si>
    <t xml:space="preserve">708.64</t>
  </si>
  <si>
    <t xml:space="preserve">107,42</t>
  </si>
  <si>
    <t xml:space="preserve">0.676974716705773</t>
  </si>
  <si>
    <t xml:space="preserve">gamma-glutamyltransferase 1</t>
  </si>
  <si>
    <t xml:space="preserve">FUNCTION: Cleaves the gamma-glutamyl bond of extracellular glutathione (gamma-Glu-Cys-Gly), glutathione conjugates, and other gamma-glutamyl compounds. The metabolism of glutathione releases free glutamate and the dipeptide, cysteinyl-glycine, which is hydrolyzed to cysteine and glycine by dipeptidases. In the presence of high concentrations of dipeptides and some amino acids, can also catalyze a transpeptidation reaction, transferring the gamma-glutamyl moiety to an acceptor amino acid to form a new gamma-glutamyl compound. Initiates extracellular glutathione (GSH) breakdown, provides cells with a local cysteine supply and contributes to maintain intracellular GSH level. It is part of the cell antioxidant defense mechanism. Isoform 3 seems to be inactive. {ECO:0000269|PubMed:20622017, ECO:0000269|PubMed:24047895, ECO:0000269|PubMed:7673200, ECO:0000269|PubMed:7759490, ECO:0000269|PubMed:8095045, ECO:0000269|PubMed:8827453}.; </t>
  </si>
  <si>
    <t xml:space="preserve">DISEASE: Glutathionuria (GLUTH) [MIM:231950]: Autosomal recessive disease. Note=The disease is caused by mutations affecting the gene represented in this entry.; </t>
  </si>
  <si>
    <t xml:space="preserve">142</t>
  </si>
  <si>
    <t xml:space="preserve">111,31</t>
  </si>
  <si>
    <t xml:space="preserve">601.64</t>
  </si>
  <si>
    <t xml:space="preserve">11,18</t>
  </si>
  <si>
    <t xml:space="preserve">2.61207132683228e-15</t>
  </si>
  <si>
    <t xml:space="preserve">myosin XVIIIB</t>
  </si>
  <si>
    <t xml:space="preserve">FUNCTION: May be involved in intracellular trafficking of the muscle cell when in the cytoplasm, whereas entering the nucleus, may be involved in the regulation of muscle specific genes. May play a role in the control of tumor development and progression; restored MYO18B expression in lung cancer cells suppresses anchorage-independent growth.; </t>
  </si>
  <si>
    <t xml:space="preserve">900.64</t>
  </si>
  <si>
    <t xml:space="preserve">37,32</t>
  </si>
  <si>
    <t xml:space="preserve">5.59567327026563e-05</t>
  </si>
  <si>
    <t xml:space="preserve">SEC14 like lipid binding 4</t>
  </si>
  <si>
    <t xml:space="preserve">FUNCTION: Probable hydrophobic ligand-binding protein; may play a role in the transport of hydrophobic ligands like tocopherol, squalene and phospholipids.; </t>
  </si>
  <si>
    <t xml:space="preserve">6,3</t>
  </si>
  <si>
    <t xml:space="preserve">0.999999999912023</t>
  </si>
  <si>
    <t xml:space="preserve">myosin, heavy chain 9, non-muscle</t>
  </si>
  <si>
    <t xml:space="preserve">FUNCTION: Cellular myosin that appears to play a role in cytokinesis, cell shape, and specialized functions such as secretion and capping. During cell spreading, plays an important role in cytoskeleton reorganization, focal contacts formation (in the margins but not the central part of spreading cells), and lamellipodial retraction; this function is mechanically antagonized by MYH10. {ECO:0000269|PubMed:20052411}.; </t>
  </si>
  <si>
    <t xml:space="preserve">DISEASE: May-Hegglin anomaly (MHA) [MIM:155100]: A disorder characterized by thrombocytopenia, giant platelets and Dohle body- like inclusions in peripheral blood leukocytes. appearing as highly parallel paracrystalline bodies. {ECO:0000269|PubMed:10973260, ECO:0000269|PubMed:12533692, ECO:0000269|PubMed:12792306}. Note=The disease is caused by mutations affecting the gene represented in this entry.; DISEASE: Sebastian syndrome (SBS) [MIM:605249]: Autosomal dominant macrothrombocytopenia characterized by thrombocytopenia, giant platelets and leukocyte inclusions that are smaller and less organized than in May-Hegglin anomaly. {ECO:0000269|PubMed:12533692}. Note=The disease is caused by mutations affecting the gene represented in this entry.; DISEASE: Fechtner syndrome (FTNS) [MIM:153640]: Autosomal dominant macrothrombocytopenia characterized by thrombocytopenia, giant platelets and leukocyte inclusions that are small and poorly organized. Additionally, FTNS is distinguished by Alport-like clinical features of sensorineural deafness, cataracts and nephritis. {ECO:0000269|PubMed:10973259, ECO:0000269|PubMed:11776386, ECO:0000269|PubMed:12533692, ECO:0000269|PubMed:12792306}. Note=The disease is caused by mutations affecting the gene represented in this entry.; DISEASE: Alport syndrome, with macrothrombocytopenia (APSM) [MIM:153650]: An autosomal dominant disorder characterized by the association of ocular lesions, sensorineural hearing loss and nephritis (Alport syndrome) with platelet defects. {ECO:0000269|PubMed:11590545}. Note=The disease is caused by mutations affecting the gene represented in this entry.; DISEASE: Epstein syndrome (EPS) [MIM:153650]: An autosomal dominant disorder characterized by the association of macrothrombocytopathy, sensorineural hearing loss and nephritis. {ECO:0000269|PubMed:11752022, ECO:0000269|PubMed:11935325, ECO:0000269|PubMed:12533692, ECO:0000269|PubMed:12792306, ECO:0000269|PubMed:16969870}. Note=The disease is caused by mutations affecting the gene represented in this entry.; DISEASE: Deafness, autosomal dominant, 17 (DFNA17) [MIM:603622]: A form of deafness characterized by progressive high frequency hearing impairment and cochleosaccular degeneration. {ECO:0000269|PubMed:11023810}. Note=The disease is caused by mutations affecting the gene represented in this entry.; DISEASE: Macrothrombocytopenia and progressive sensorineural deafness (MPSD) [MIM:600208]: An autosomal dominant disorder characterized by the association of macrothrombocytopathy and progressive sensorineural hearing loss without renal dysfunction. {ECO:0000269|PubMed:12621333}. Note=The disease is caused by mutations affecting the gene represented in this entry.; DISEASE: Note=Subjects with mutations in the motor domain of MYH9 present with severe thrombocytopenia and develop nephritis and deafness before the age of 40 years, while those with mutations in the tail domain have a much lower risk of noncongenital complications and significantly higher platelet counts. The clinical course of patients with mutations in the four most frequently affected residues of MYH9 (responsible for 70% of MYH9- related cases) were evaluated. Mutations at residue 1933 do not induce kidney damage or cataracts and cause deafness only in the elderly, those in position 702 result in severe thrombocytopenia and produce nephritis and deafness at a juvenile age, while alterations at residue 1424 or 1841 result in intermediate clinical pictures.; DISEASE: Note=Genetic variations in MYH9 are associated with non- diabetic end stage renal disease (ESRD).; </t>
  </si>
  <si>
    <t xml:space="preserve">TCACA</t>
  </si>
  <si>
    <t xml:space="preserve">354.01</t>
  </si>
  <si>
    <t xml:space="preserve">21</t>
  </si>
  <si>
    <t xml:space="preserve">1,5,15</t>
  </si>
  <si>
    <t xml:space="preserve">NM_001362843:c.*924_*928delins0;NM_001429:c.*924_*928delins0;uc003azl.4:c.*924_*928delins0</t>
  </si>
  <si>
    <t xml:space="preserve">TCACACACA</t>
  </si>
  <si>
    <t xml:space="preserve">128.60</t>
  </si>
  <si>
    <t xml:space="preserve">22,5</t>
  </si>
  <si>
    <t xml:space="preserve">NM_001362843:c.*924_*932delTCACACACA;NM_001429:c.*924_*932delTCACACACA;uc003azl.4:c.*924_*932delTCACACACA</t>
  </si>
  <si>
    <t xml:space="preserve">NM_001362843:c.*927_*928delCA;NM_001429:c.*927_*928delCA;uc003azl.4:c.*927_*928delCA</t>
  </si>
  <si>
    <t xml:space="preserve">NM_001362843:c.*936A&gt;C;NM_001429:c.*936A&gt;C;uc003azl.4:c.*936A&gt;C</t>
  </si>
  <si>
    <t xml:space="preserve">NM_001362843:c.*940A&gt;C;NM_001429:c.*940A&gt;C;uc003azl.4:c.*940A&gt;C</t>
  </si>
  <si>
    <t xml:space="preserve">161.64</t>
  </si>
  <si>
    <t xml:space="preserve">0.012022450286735</t>
  </si>
  <si>
    <t xml:space="preserve">parvin gamma</t>
  </si>
  <si>
    <t xml:space="preserve">FUNCTION: Probably plays a role in the regulation of cell adhesion and cytoskeleton organization. {ECO:0000250}.; </t>
  </si>
  <si>
    <t xml:space="preserve">CCACGTGGTGCCCGTGGTCTGGCAGGCGG</t>
  </si>
  <si>
    <t xml:space="preserve">467.60</t>
  </si>
  <si>
    <t xml:space="preserve">41,17</t>
  </si>
  <si>
    <t xml:space="preserve">dist=3721;dist=2061;dist=3860;dist=42877;ENSG00000138892:ENST00000440475:exon12:c.2192_2220del:p.A731Gfs*75,ENSG00000138892:ENST00000266182:exon13:c.2252_2280del:p.A751Gfs*75,ENSG00000138892:ENST00000433387:exon13:c.2300_2328del:p.A767Gfs*74</t>
  </si>
  <si>
    <t xml:space="preserve">8,13</t>
  </si>
  <si>
    <t xml:space="preserve">0.996606387924368</t>
  </si>
  <si>
    <t xml:space="preserve">contactin 4</t>
  </si>
  <si>
    <t xml:space="preserve">FUNCTION: Contactins mediate cell surface interactions during nervous system development. Has some neurite outgrowth-promoting activity. May be involved in synaptogenesis.; </t>
  </si>
  <si>
    <t xml:space="preserve">DISEASE: Note=A chromosomal aberration involving CNTN4 has been found in a boy with characteristic physical features of 3p deletion syndrome (3PDS). Translocation t(3;10)(p26;q26). 3PDS is a rare contiguous gene disorder involving the loss of the telomeric portion of the short arm of chromosome 3 and characterized by developmental delay, growth retardation, and dysmorphic features. {ECO:0000269|PubMed:15106122}.; </t>
  </si>
  <si>
    <t xml:space="preserve">1514.64</t>
  </si>
  <si>
    <t xml:space="preserve">58,59</t>
  </si>
  <si>
    <t xml:space="preserve">0.742389488872585</t>
  </si>
  <si>
    <t xml:space="preserve">parathyroid hormone 1 receptor</t>
  </si>
  <si>
    <t xml:space="preserve">FUNCTION: This is a receptor for parathyroid hormone and for parathyroid hormone-related peptide. The activity of this receptor is mediated by G proteins which activate adenylyl cyclase and also a phosphatidylinositol-calcium second messenger system. {ECO:0000269|PubMed:18611381, ECO:0000269|PubMed:20172855}.; </t>
  </si>
  <si>
    <t xml:space="preserve">DISEASE: Chondrodysplasia Blomstrand type (BOCD) [MIM:215045]: Severe skeletal dysplasia. {ECO:0000269|PubMed:9745456}. Note=The disease is caused by mutations affecting the gene represented in this entry.; DISEASE: Enchondromatosis multiple (ENCHOM) [MIM:166000]: A condition characterized by multiple formation of enchondromas, benign neoplasms derived from mesodermal cells that form cartilage. Enchondromas remain within the substance of a cartilage or bone. Clinical problems caused by enchondromas include skeletal deformity and the potential for malignant change to osteosarcoma. {ECO:0000269|PubMed:11850620}. Note=The disease may be caused by mutations affecting the gene represented in this entry.; DISEASE: Eiken skeletal dysplasia (EISD) [MIM:600002]: A rare skeletal dysplasia characterized by severely retarded ossification, principally of the epiphyses, pelvis, hands and feet, as well as by abnormal modeling of the bones in hands and feet, abnormal persistence of cartilage in the pelvis and mild growth retardation. {ECO:0000269|PubMed:15525660}. Note=The disease is caused by mutations affecting the gene represented in this entry.; DISEASE: Primary failure of tooth eruption (PFE) [MIM:125350]: Rare condition that has high penetrance and variable expressivity and in which tooth retention occurs without evidence of any obvious mechanical interference. Instead, malfunction of the eruptive mechanism itself appears to cause nonankylosed permanent teeth to fail to erupt, although the eruption pathway has been cleared by bone resorption. {ECO:0000269|PubMed:19061984}. Note=The disease is caused by mutations affecting the gene represented in this entry.; </t>
  </si>
  <si>
    <t xml:space="preserve">9,8</t>
  </si>
  <si>
    <t xml:space="preserve">0.132467103146211</t>
  </si>
  <si>
    <t xml:space="preserve">ubiquinol-cytochrome c reductase core protein I</t>
  </si>
  <si>
    <t xml:space="preserve">FUNCTION: This is a component of the ubiquinol-cytochrome c reductase complex (complex III or cytochrome b-c1 complex), which is part of the mitochondrial respiratory chain. This protein may mediate formation of the complex between cytochromes c and c1.; </t>
  </si>
  <si>
    <t xml:space="preserve">1056.64</t>
  </si>
  <si>
    <t xml:space="preserve">24,36</t>
  </si>
  <si>
    <t xml:space="preserve">Vpr (HIV-1) binding protein</t>
  </si>
  <si>
    <t xml:space="preserve">FUNCTION: Acts both as a substrate recognition component of E3 ubiquitin-protein ligase complexes and as an atypical serine/threonine-protein kinase, playing key roles in various processes such as cell cycle, telomerase regulation and histone modification. Probable substrate-specific adapter of a DCX (DDB1- CUL4-X-box) E3 ubiquitin-protein ligase complex, named CUL4A-RBX1- DDB1-DCAF1/VPRBP complex, which mediates ubiquitination and proteasome-dependent degradation of proteins such as NF2. Involved in the turnover of methylated proteins: recognizes and binds methylated proteins via its chromo domain, leading to ubiquitination of target proteins by the RBX1-DDB1-DCAF1/VPRBP complex (PubMed:23063525). The CUL4A-RBX1-DDB1-DCAF1/VPRBP complex is also involved in B-cell development: VPRBP is recruited by RAG1 to ubiquitinate proteins, leading to limit error-prone repair during V(D)J recombination. Also part of the EDVP complex, an E3 ligase complex that mediates ubiquitination of proteins such as TERT, leading to TERT degradation and telomerase inhibition (PubMed:23362280). Also acts as an atypical serine/threonine- protein kinase that specifically mediates phosphorylation of 'Thr- 120' of histone H2A (H2AT120ph) in a nucleosomal context, thereby repressing transcription. H2AT120ph is present in the regulatory region of many tumor suppresor genes, down-regulates their transcription and is present at high level in a number of tumors (PubMed:24140421). Involved in JNK-mediated apoptosis during cell competition process via its interaction with LLGL1 and LLGL2 (PubMed:20644714). In case of infection by HIV-1 virus, it is recruited by HIV-1 Vpr in order to hijack the CUL4A-RBX1-DDB1- DCAF1/VPRBP function leading to arrest the cell cycle in G2 phase, and also to protect the viral protein from proteasomal degradation by another E3 ubiquitin ligase. The HIV-1 Vpr protein hijacks the CUL4A-RBX1-DDB1-DCAF1/VPRBP complex to promote ubiquitination and degradation of proteins such as TERT and ZIP/ZGPAT. In case of infection by HIV-2 virus, it is recruited by HIV-2 Vpx in order to hijack the CUL4A-RBX1-DDB1-DCAF1/VPRBP function leading to enhanced efficiency of macrophage infection and promotion of the replication of cognate primate lentiviruses in cells of monocyte/macrophage lineage. {ECO:0000269|PubMed:16964240, ECO:0000269|PubMed:17314515, ECO:0000269|PubMed:17559673, ECO:0000269|PubMed:17609381, ECO:0000269|PubMed:17620334, ECO:0000269|PubMed:17626091, ECO:0000269|PubMed:17630831, ECO:0000269|PubMed:18332868, ECO:0000269|PubMed:18464893, ECO:0000269|PubMed:18524771, ECO:0000269|PubMed:18606781, ECO:0000269|PubMed:19264781, ECO:0000269|PubMed:19287380, ECO:0000269|PubMed:19923175, ECO:0000269|PubMed:20644714, ECO:0000269|PubMed:22184063, ECO:0000269|PubMed:23063525, ECO:0000269|PubMed:23362280, ECO:0000269|PubMed:24116224, ECO:0000269|PubMed:24140421, ECO:0000269|PubMed:24336198}.; </t>
  </si>
  <si>
    <t xml:space="preserve">281.64</t>
  </si>
  <si>
    <t xml:space="preserve">13,13</t>
  </si>
  <si>
    <t xml:space="preserve">0.00139183900459992</t>
  </si>
  <si>
    <t xml:space="preserve">fragile histidine triad</t>
  </si>
  <si>
    <t xml:space="preserve">FUNCTION: Cleaves P(1)-P(3)-bis(5'-adenosyl) triphosphate (Ap3A) to yield AMP and ADP. Can also hydrolyze P(1)-P(4)-bis(5'- adenosyl) tetraphosphate (Ap4A), but has extremely low activity with ATP. Modulates transcriptional activation by CTNNB1 and thereby contributes to regulate the expression of genes essential for cell proliferation and survival, such as CCND1 and BIRC5. Plays a role in the induction of apoptosis via SRC and AKT1 signaling pathways. Inhibits MDM2-mediated proteasomal degradation of p53/TP53 and thereby plays a role in p53/TP53-mediated apoptosis. Induction of apoptosis depends on the ability of FHIT to bind P(1)-P(3)-bis(5'-adenosyl) triphosphate or related compounds, but does not require its catalytic activity, it may in part come from the mitochondrial form, which sensitizes the low- affinity Ca(2+) transporters, enhancing mitochondrial calcium uptake. Functions as tumor suppressor. {ECO:0000269|PubMed:12574506, ECO:0000269|PubMed:15313915, ECO:0000269|PubMed:16407838, ECO:0000269|PubMed:18077326, ECO:0000269|PubMed:19622739, ECO:0000269|PubMed:8794732, ECO:0000269|PubMed:9323207}.; </t>
  </si>
  <si>
    <t xml:space="preserve">DISEASE: Note=A chromosomal aberration involving FHIT has been found in a lymphoblastoid cell line established from a family with renal cell carcinoma and thyroid carcinoma. Translocation t(3;8)(p14.2;q24.1) with RNF139. Although the 3p14.2 breakpoint has been shown to interrupt FHIT in its 5-prime non-coding region, it is unlikely that FHIT is causally related to renal or other malignancies. {ECO:0000269|PubMed:15007172}.; DISEASE: Note=Associated with digestive tract cancers. Numerous tumor types are found to have aberrant forms of FHIT protein due to deletions in a coding region of chromosome 3p14.2 including the fragile site locus FRA3B. {ECO:0000269|PubMed:15007172}.; </t>
  </si>
  <si>
    <t xml:space="preserve">501.64</t>
  </si>
  <si>
    <t xml:space="preserve">20,19</t>
  </si>
  <si>
    <t xml:space="preserve">0.954513146757851</t>
  </si>
  <si>
    <t xml:space="preserve">EPH receptor A6</t>
  </si>
  <si>
    <t xml:space="preserve">FUNCTION: Receptor tyrosine kinase which binds promiscuously GPI- anchored ephrin-A family ligands residing on adjacent cells, leading to contact-dependent bidirectional signaling into neighboring cells. The signaling pathway downstream of the receptor is referred to as forward signaling while the signaling pathway downstream of the ephrin ligand is referred to as reverse signaling (By similarity). {ECO:0000250}.; </t>
  </si>
  <si>
    <t xml:space="preserve">67.60</t>
  </si>
  <si>
    <t xml:space="preserve">71,12</t>
  </si>
  <si>
    <t xml:space="preserve">ABI3BP:uc003dup.4:exon11:c.1088dupT:p.*364delinsLKKQK*</t>
  </si>
  <si>
    <t xml:space="preserve">3.9401554209396e-07</t>
  </si>
  <si>
    <t xml:space="preserve">ABI family member 3 binding protein</t>
  </si>
  <si>
    <t xml:space="preserve">221.60</t>
  </si>
  <si>
    <t xml:space="preserve">77,22</t>
  </si>
  <si>
    <t xml:space="preserve">ENSG00000091986:ENST00000479368:exon1:c.50dupT:p.W18Lfs*8</t>
  </si>
  <si>
    <t xml:space="preserve">0.00584309877267669</t>
  </si>
  <si>
    <t xml:space="preserve">coiled-coil domain containing 80</t>
  </si>
  <si>
    <t xml:space="preserve">FUNCTION: Promotes cell adhesion and matrix assembly. {ECO:0000250}.; </t>
  </si>
  <si>
    <t xml:space="preserve">429.64</t>
  </si>
  <si>
    <t xml:space="preserve">13,14</t>
  </si>
  <si>
    <t xml:space="preserve">0.993000949687577</t>
  </si>
  <si>
    <t xml:space="preserve">karyopherin subunit alpha 1</t>
  </si>
  <si>
    <t xml:space="preserve">FUNCTION: Functions in nuclear protein import as an adapter protein for nuclear receptor KPNB1. Binds specifically and directly to substrates containing either a simple or bipartite NLS motif. Docking of the importin/substrate complex to the nuclear pore complex (NPC) is mediated by KPNB1 through binding to nucleoporin FxFG repeats and the complex is subsequently translocated through the pore by an energy requiring, Ran- dependent mechanism. At the nucleoplasmic side of the NPC, Ran binds to importin-beta and the three components separate and importin-alpha and -beta are re-exported from the nucleus to the cytoplasm where GTP hydrolysis releases Ran from importin. The directionality of nuclear import is thought to be conferred by an asymmetric distribution of the GTP- and GDP-bound forms of Ran between the cytoplasm and nucleus. In vitro, mediates the nuclear import of human cytomegalovirus UL84 by recognizing a non- classical NLS.; </t>
  </si>
  <si>
    <t xml:space="preserve">30.60</t>
  </si>
  <si>
    <t xml:space="preserve">95</t>
  </si>
  <si>
    <t xml:space="preserve">83,12</t>
  </si>
  <si>
    <t xml:space="preserve">NM_001319086:exon5:c.334-2-&gt;T;NM_003707:exon5:c.514-2-&gt;T;NM_001319084:exon5:c.514-2-&gt;T;uc003ekf.3:exon5:c.334-2-&gt;T;uc003ekh.3:exon5:c.514-2-&gt;T;uc010hss.3:exon5:c.514-2-&gt;T;ENST00000464873:exon5:c.334-2-&gt;T;ENST00000322623:exon5:c.514-2-&gt;T;ENST00000417360:exon5:c.514-2-&gt;T</t>
  </si>
  <si>
    <t xml:space="preserve">0.998897690232788</t>
  </si>
  <si>
    <t xml:space="preserve">RuvB like AAA ATPase 1</t>
  </si>
  <si>
    <t xml:space="preserve">FUNCTION: Possesses single-stranded DNA-stimulated ATPase and ATP- dependent DNA helicase (3' to 5') activity; hexamerization is thought to be critical for ATP hydrolysis and adjacent subunits in the ring-like structure contribute to the ATPase activity.; FUNCTION: Proposed core component of the chromatin remodeling INO80 complex which is involved in transcriptional regulation, DNA replication and probably DNA repair.; FUNCTION: May be able to bind plasminogen at cell surface and enhance plasminogen activation.; </t>
  </si>
  <si>
    <t xml:space="preserve">8,6</t>
  </si>
  <si>
    <t xml:space="preserve">2.16271033723115e-11</t>
  </si>
  <si>
    <t xml:space="preserve">intraflagellar transport 122</t>
  </si>
  <si>
    <t xml:space="preserve">FUNCTION: Required for cilia formation during neuronal patterning. Acts as a negative regulator of Shh signaling. Required to recruit TULP3 to primary cilia (By similarity). {ECO:0000250}.; </t>
  </si>
  <si>
    <t xml:space="preserve">60.60</t>
  </si>
  <si>
    <t xml:space="preserve">8,4</t>
  </si>
  <si>
    <t xml:space="preserve">0.701297833041861</t>
  </si>
  <si>
    <t xml:space="preserve">ATR serine/threonine kinase</t>
  </si>
  <si>
    <t xml:space="preserve">FUNCTION: Serine/threonine protein kinase which activates checkpoint signaling upon genotoxic stresses such as ionizing radiation (IR), ultraviolet light (UV), or DNA replication stalling, thereby acting as a DNA damage sensor. Recognizes the substrate consensus sequence [ST]-Q. Phosphorylates BRCA1, CHEK1, MCM2, RAD17, RPA2, SMC1 and p53/TP53, which collectively inhibit DNA replication and mitosis and promote DNA repair, recombination and apoptosis. Phosphorylates 'Ser-139' of histone variant H2AX/H2AFX at sites of DNA damage, thereby regulating DNA damage response mechanism. Required for FANCD2 ubiquitination. Critical for maintenance of fragile site stability and efficient regulation of centrosome duplication. {ECO:0000269|PubMed:10597277, ECO:0000269|PubMed:10608806, ECO:0000269|PubMed:10859164, ECO:0000269|PubMed:11114888, ECO:0000269|PubMed:11418864, ECO:0000269|PubMed:11673449, ECO:0000269|PubMed:11721054, ECO:0000269|PubMed:11865061, ECO:0000269|PubMed:12526805, ECO:0000269|PubMed:12791985, ECO:0000269|PubMed:12814551, ECO:0000269|PubMed:14657349, ECO:0000269|PubMed:14729973, ECO:0000269|PubMed:14742437, ECO:0000269|PubMed:15210935, ECO:0000269|PubMed:15314022, ECO:0000269|PubMed:15496423, ECO:0000269|PubMed:16260606, ECO:0000269|PubMed:21144835, ECO:0000269|PubMed:9427750, ECO:0000269|PubMed:9636169, ECO:0000269|PubMed:9925639}.; </t>
  </si>
  <si>
    <t xml:space="preserve">DISEASE: Seckel syndrome 1 (SCKL1) [MIM:210600]: A rare autosomal recessive disorder characterized by proportionate dwarfism of prenatal onset associated with low birth weight, growth retardation, severe microcephaly with a bird-headed like appearance, and mental retardation. {ECO:0000269|PubMed:12640452}. Note=The disease is caused by mutations affecting the gene represented in this entry.; DISEASE: Cutaneous telangiectasia and cancer syndrome, familial (FCTCS) [MIM:614564]: A disease characterized by cutaneous telangiectases in infancy with patchy alopecia over areas of affected skin, thinning of the lateral eyebrows, and mild dental and nail anomalies. Affected individuals are at increased risk of developing oropharyngeal cancer, and other malignancies have been reported as well. {ECO:0000269|PubMed:22341969}. Note=The disease is caused by mutations affecting the gene represented in this entry.; </t>
  </si>
  <si>
    <t xml:space="preserve">GCG</t>
  </si>
  <si>
    <t xml:space="preserve">37.60</t>
  </si>
  <si>
    <t xml:space="preserve">30</t>
  </si>
  <si>
    <t xml:space="preserve">27,3</t>
  </si>
  <si>
    <t xml:space="preserve">0.982525139432015</t>
  </si>
  <si>
    <t xml:space="preserve">B-cell CLL/lymphoma 6</t>
  </si>
  <si>
    <t xml:space="preserve">FUNCTION: Transcriptional repressor mainly required for germinal center (GC) formation and antibody affinity maturation which has different mechanisms of action specific to the lineage and biological functions. Forms complexes with different corepressors and histone deacetylases to repress the transcriptional expression of different subsets of target genes. Represses its target genes by binding directly to the DNA sequence 5'-TTCCTAGAA-3' (BCL6- binding site) or indirectly by repressing the transcriptional activity of transcription factors. In GC B-cells, represses genes that function in differentiation, inflammation, apoptosis and cell cycle control, also autoregulates its transcriptional expression and up-regulates, indirectly, the expression of some genes important for GC reactions, such as AICDA, through the repression of microRNAs expression, like miR155. An important function is to allow GC B-cells to proliferate very rapidly in response to T-cell dependent antigens and tolerate the physiological DNA breaks required for immunglobulin class switch recombination and somatic hypermutation without inducing a p53/TP53-dependent apoptotic response. In follicular helper CD4(+) T-cells (T(FH) cells), promotes the expression of T(FH)-related genes but inhibits the differentiation of T(H)1, T(H)2 and T(H)17 cells. Also required for the establishment and maintenance of immunological memory for both T- and B-cells. Suppresses macrophage proliferation through competition with STAT5 for STAT-binding motifs binding on certain target genes, such as CCL2 and CCND2. In response to genotoxic stress, controls cell cycle arrest in GC B-cells in both p53/TP53- dependedent and -independent manners. Besides, also controls neurogenesis through the alteration of the composition of NOTCH- dependent transcriptional complexes at selective NOTCH targets, such as HES5, including the recruitment of the deacetylase SIRT1 and resulting in an epigenetic silencing leading to neuronal differentiation. {ECO:0000269|PubMed:10981963, ECO:0000269|PubMed:12402037, ECO:0000269|PubMed:12414651, ECO:0000269|PubMed:12504096, ECO:0000269|PubMed:15454082, ECO:0000269|PubMed:15577913, ECO:0000269|PubMed:16142238, ECO:0000269|PubMed:17828269, ECO:0000269|PubMed:18212045, ECO:0000269|PubMed:18280243, ECO:0000269|PubMed:22113614, ECO:0000269|PubMed:23166356, ECO:0000269|PubMed:23911289, ECO:0000269|PubMed:9649500}.; </t>
  </si>
  <si>
    <t xml:space="preserve">DISEASE: Note=Chromosomal aberrations involving BCL6 are a cause of B-cell non-Hodgkin lymphomas (B-cell NHL), including diffuse large B-cell lymphoma and follicular lymphoma. Approximately 40% of diffuse large B-cell lymphomas and 5 to 10% of follicular lymphomas are associated with chromosomal translocations that deregulate expression of BCL6 by juxtaposing heterologous promoters to the BCL6 coding domain. Translocation t(3;14)(q27;q32). Translocation t(3;22)(q27;q11) with immunoglobulin gene regions. Translocation t(3;7)(q27;p12) with IKZF1 gene 5'non-coding region. Translocation t(3;6)(q27;p21) with Histone H4. Translocation t(3;16)(q27;p11) with IL21R. Translocation t(3;13)(q27;q14) with LCP1.; DISEASE: Note=A chromosomal aberration involving BCL6 may be a cause of a form of B-cell leukemia. Translocation t(3;11)(q27;q23) with POU2AF1/OBF1.; DISEASE: Note=A chromosomal aberration involving BCL6 may be a cause of lymphoma. Translocation t(3;4)(q27;p11) with ARHH/TTF.; </t>
  </si>
  <si>
    <t xml:space="preserve">6,14</t>
  </si>
  <si>
    <t xml:space="preserve">0.506746749056946</t>
  </si>
  <si>
    <t xml:space="preserve">interleukin 1 receptor accessory protein</t>
  </si>
  <si>
    <t xml:space="preserve">FUNCTION: Coreceptor for IL1RL2 in the IL-36 signaling system (By similarity). Coreceptor with IL1R1 in the IL-1 signaling system. Associates with IL1R1 bound to IL1B to form the high affinity interleukin-1 receptor complex which mediates interleukin-1- dependent activation of NF-kappa-B and other pathways. Signaling involves the recruitment of adapter molecules such as TOLLIP, MYD88, and IRAK1 or IRAK2 via the respective TIR domains of the receptor/coreceptor subunits. Recruits TOLLIP to the signaling complex. Does not bind to interleukin-1 alone; binding of IL1RN to IL1R1, prevents its association with IL1R1 to form a signaling complex. The cellular response is modulated through a non- signaling association with the membrane IL1R2 decoy receptor. Secreted forms (isoforms 2 and 3) associate with secreted ligand- bound IL1R2 and increase the affinity of secreted IL1R2 for IL1B; this complex formation may be the dominant mechanism for neutralization of IL1B by secreted/soluble receptors. {ECO:0000250|UniProtKB:Q61730, ECO:0000269|PubMed:10799889, ECO:0000269|PubMed:12530978, ECO:0000269|PubMed:9371760}.; </t>
  </si>
  <si>
    <t xml:space="preserve">GTGT</t>
  </si>
  <si>
    <t xml:space="preserve">2015.02</t>
  </si>
  <si>
    <t xml:space="preserve">0,40,19</t>
  </si>
  <si>
    <t xml:space="preserve">6.07648654021509e-10</t>
  </si>
  <si>
    <t xml:space="preserve">ATP13A4 antisense RNA 1;ATPase 13A4</t>
  </si>
  <si>
    <t xml:space="preserve">DISEASE: Note=A chromosomal aberration involving ATP13A4 is found in 2 patients with specific language impairment (SLI) disorders. Paracentric inversion inv(3)(q25;q29). The inversion produces a disruption of the protein. {ECO:0000269|PubMed:15925480}.; </t>
  </si>
  <si>
    <t xml:space="preserve">482.64</t>
  </si>
  <si>
    <t xml:space="preserve">11,14</t>
  </si>
  <si>
    <t xml:space="preserve">0.973134951387495</t>
  </si>
  <si>
    <t xml:space="preserve">cyclin G associated kinase</t>
  </si>
  <si>
    <t xml:space="preserve">FUNCTION: Associates with cyclin G and CDK5. Seems to act as an auxilin homolog that is involved in the uncoating of clathrin- coated vesicles by Hsc70 in non-neuronal cells. Expression oscillates slightly during the cell cycle, peaking at G1. {ECO:0000269|PubMed:10625686}.; </t>
  </si>
  <si>
    <t xml:space="preserve">GC</t>
  </si>
  <si>
    <t xml:space="preserve">206.60</t>
  </si>
  <si>
    <t xml:space="preserve">13,6</t>
  </si>
  <si>
    <t xml:space="preserve">HTT:NM_002111:exon1:c.84_85del:p.Q29Afs*53;HTT:uc021xkv.1:exon1:c.84_85del:p.Q29Afs*53;ENSG00000197386:ENST00000355072:exon1:c.84_85del:p.Q29Afs*53</t>
  </si>
  <si>
    <t xml:space="preserve">0.999999999968547</t>
  </si>
  <si>
    <t xml:space="preserve">huntingtin</t>
  </si>
  <si>
    <t xml:space="preserve">FUNCTION: May play a role in microtubule-mediated transport or vesicle function.; </t>
  </si>
  <si>
    <t xml:space="preserve">DISEASE: Huntington disease (HD) [MIM:143100]: A neurodegenerative disorder characterized by involuntary movements (chorea), general motor impairment, psychiatric disorders and dementia. Onset of the disease occurs usually in the third or fourth decade of life. Onset and clinical course depend on the degree of poly-Gln repeat expansion, longer expansions resulting in earlier onset and more severe clinical manifestations. Neuropathology of Huntington disease displays a distinctive pattern with loss of neurons, especially in the caudate and putamen. Note=The disease is caused by mutations affecting the gene represented in this entry.; </t>
  </si>
  <si>
    <t xml:space="preserve">GCAGCAGCAGCAGCAG</t>
  </si>
  <si>
    <t xml:space="preserve">203.60</t>
  </si>
  <si>
    <t xml:space="preserve">14,6</t>
  </si>
  <si>
    <t xml:space="preserve">HTT:NM_002111:exon1:c.87_102del:p.Q29Hfs*67;HTT:uc021xkv.1:exon1:c.87_102del:p.Q29Hfs*67;ENSG00000197386:ENST00000355072:exon1:c.87_102del:p.Q29Hfs*67</t>
  </si>
  <si>
    <t xml:space="preserve">1025.64</t>
  </si>
  <si>
    <t xml:space="preserve">34,38</t>
  </si>
  <si>
    <t xml:space="preserve">263.64</t>
  </si>
  <si>
    <t xml:space="preserve">13,9</t>
  </si>
  <si>
    <t xml:space="preserve">NACHT and WD repeat domain containing 2</t>
  </si>
  <si>
    <t xml:space="preserve">9,4</t>
  </si>
  <si>
    <t xml:space="preserve">0.957344185404364</t>
  </si>
  <si>
    <t xml:space="preserve">heterogeneous nuclear ribonucleoprotein D</t>
  </si>
  <si>
    <t xml:space="preserve">FUNCTION: Binds with high affinity to RNA molecules that contain AU-rich elements (AREs) found within the 3'-UTR of many proto- oncogenes and cytokine mRNAs. Also binds to double- and single- stranded DNA sequences in a specific manner and functions a transcription factor. Each of the RNA-binding domains specifically can bind solely to a single-stranded non-monotonous 5'-UUAG-3' sequence and also weaker to the single-stranded 5'-TTAGGG-3' telomeric DNA repeat. Binds RNA oligonucleotides with 5'-UUAGGG-3' repeats more tightly than the telomeric single-stranded DNA 5'- TTAGGG-3' repeats. Binding of RRM1 to DNA inhibits the formation of DNA quadruplex structure which may play a role in telomere elongation. May be involved in translationally coupled mRNA turnover. Implicated with other RNA-binding proteins in the cytoplasmic deadenylation/translational and decay interplay of the FOS mRNA mediated by the major coding-region determinant of instability (mCRD) domain. May play a role in the regulation of the rhythmic expression of circadian clock core genes. Directly binds to the 3'UTR of CRY1 mRNA and induces CRY1 rhythmic translation. May also be involved in the regulation of PER2 translation. {ECO:0000269|PubMed:10080887, ECO:0000269|PubMed:11051545, ECO:0000269|PubMed:24423872}.; </t>
  </si>
  <si>
    <t xml:space="preserve">TGTGTG</t>
  </si>
  <si>
    <t xml:space="preserve">1878.02</t>
  </si>
  <si>
    <t xml:space="preserve">47</t>
  </si>
  <si>
    <t xml:space="preserve">0,24,23</t>
  </si>
  <si>
    <t xml:space="preserve">0.000618023464984046</t>
  </si>
  <si>
    <t xml:space="preserve">dentin sialophosphoprotein</t>
  </si>
  <si>
    <t xml:space="preserve">FUNCTION: DSP may be an important factor in dentinogenesis. DPP may bind high amount of calcium and facilitate initial mineralization of dentin matrix collagen as well as regulate the size and shape of the crystals.; </t>
  </si>
  <si>
    <t xml:space="preserve">DISEASE: Deafness, autosomal dominant, 39, with dentinogenesis imperfecta 1 (DFNA39/DGI1) [MIM:605594]: A disorder characterized by the association of progressive sensorineural high-frequency hearing loss with dentinogenesis imperfecta. {ECO:0000269|PubMed:11175790}. Note=The disease is caused by mutations affecting the gene represented in this entry.; DISEASE: Dentinogenesis imperfecta, Shields type 2 (DGI2) [MIM:125490]: A form of dentinogenesis imperfecta, an autosomal dominant dentin disorder characterized by amber-brown, opalescent teeth that fracture and shed their enamel during mastication, thereby exposing the dentin to rapid wear. Radiographically, the crown appears bulbous and pulpal obliteration is common. The pulp chambers are initially larger than normal prior and immediately after tooth eruption, and then progressively close down to become almost obliterated by abnormal dentin formation. Roots are short and thin. Both primary and permanent teeth are affected. DGI2 is not associated with osteogenesis imperfecta. {ECO:0000269|PubMed:11175779, ECO:0000269|PubMed:14758537, ECO:0000269|PubMed:17627120, ECO:0000269|PubMed:21029264}. Note=The disease is caused by mutations affecting the gene represented in this entry. DSPP defects causing dentin abnormalities act in a dominant negative manner and include missense, splice-site, frameshift mutations. 5' frameshift mutations cause dentin dysplasia while frameshift mutations at the 3' end cause the more severe dentinogenesis imperfecta phenotype (PubMed:18521831 and PubMed:22392858).; DISEASE: Dentinogenesis imperfecta, Shields type 3 (DGI3) [MIM:125500]: A form of dentinogenesis imperfecta, an autosomal dominant dentin disorder characterized by amber-brown, opalescent teeth that fracture and shed their enamel during mastication, thereby exposing the dentin to rapid wear. Radiographically, the crown appears bulbous and pulpal obliteration is common. The pulp chambers are initially larger than normal prior and immediately after tooth eruption, and then progressively close down to become almost obliterated by abnormal dentin formation. Roots are short and thin. Both primary and permanent teeth are affected. DGI3 teeth typically manifest multiple periapical radiolucencies. DGI3 is not associated with osteogenesis imperfecta. {ECO:0000269|PubMed:15592686, ECO:0000269|PubMed:18521831, ECO:0000269|PubMed:23509818}. Note=The disease is caused by mutations affecting the gene represented in this entry. DSPP defects causing dentin abnormalities act in a dominant negative manner and include missense, splice-site, frameshift mutations. 5' frameshift mutations cause dentin dysplasia while frameshift mutations at the 3' end cause the more severe dentinogenesis imperfecta phenotype (PubMed:18521831 and PubMed:22392858).; DISEASE: Dentin dysplasia 2 (DTDP2) [MIM:125420]: A dental defect in which the deciduous teeth are opalescent. The permanent teeth are of normal shape, form, and color in most cases. The root length is normal. On radiographs, the pulp chambers of permanent teeth are obliterated, have a thistle-tube deformity and contain pulp stones. {ECO:0000269|PubMed:12354781, ECO:0000269|PubMed:18521831}. Note=The disease is caused by mutations affecting the gene represented in this entry. DSPP defects causing dentin abnormalities act in a dominant negative manner and include missense, splice-site, frameshift mutations. 5' frameshift mutations cause dentin dysplasia while frameshift mutations at the 3' end cause the more severe dentinogenesis imperfecta phenotype (PubMed:18521831, PubMed:22392858). {ECO:0000269|PubMed:18521831, ECO:0000269|PubMed:22392858}.; </t>
  </si>
  <si>
    <t xml:space="preserve">326.64</t>
  </si>
  <si>
    <t xml:space="preserve">28,14</t>
  </si>
  <si>
    <t xml:space="preserve">NM_001146055:c.*1592T&gt;C;NM_001146054:c.*1592T&gt;C;NM_007308:c.*1592T&gt;C;NM_000345:c.*1592T&gt;C;uc010ikt.4:c.*1592T&gt;C;uc003hsq.3:c.*1592T&gt;C;uc003hso.3:c.*1592T&gt;C;uc031sgd.1:c.*1592T&gt;C;uc003hsp.3:c.*1592T&gt;C;uc031sgg.1:c.*1592T&gt;C;uc031sgh.1:c.*1592T&gt;C;uc003hsr.3:c.*1592T&gt;C;uc031sgj.1:c.*1592T&gt;C</t>
  </si>
  <si>
    <t xml:space="preserve">0.841962359247494</t>
  </si>
  <si>
    <t xml:space="preserve">synuclein alpha</t>
  </si>
  <si>
    <t xml:space="preserve">FUNCTION: May be involved in the regulation of dopamine release and transport. Induces fibrillization of microtubule-associated protein tau. Reduces neuronal responsiveness to various apoptotic stimuli, leading to a decreased caspase-3 activation.; </t>
  </si>
  <si>
    <t xml:space="preserve">DISEASE: Note=Genetic alterations of SNCA resulting in aberrant polymerization into fibrils, are associated with several neurodegenerative diseases (synucleinopathies). SNCA fibrillar aggregates represent the major non A-beta component of Alzheimer disease amyloid plaque, and a major component of Lewy body inclusions. They are also found within Lewy body (LB)-like intraneuronal inclusions, glial inclusions and axonal spheroids in neurodegeneration with brain iron accumulation type 1.; DISEASE: Parkinson disease 1 (PARK1) [MIM:168601]: A complex neurodegenerative disorder characterized by bradykinesia, resting tremor, muscular rigidity and postural instability. Additional features are characteristic postural abnormalities, dysautonomia, dystonic cramps, and dementia. The pathology of Parkinson disease involves the loss of dopaminergic neurons in the substantia nigra and the presence of Lewy bodies (intraneuronal accumulations of aggregated proteins), in surviving neurons in various areas of the brain. The disease is progressive and usually manifests after the age of 50 years, although early-onset cases (before 50 years) are known. The majority of the cases are sporadic suggesting a multifactorial etiology based on environmental and genetic factors. However, some patients present with a positive family history for the disease. Familial forms of the disease usually begin at earlier ages and are associated with atypical clinical features. {ECO:0000269|PubMed:23427326, ECO:0000269|PubMed:23457019, ECO:0000269|PubMed:24936070, ECO:0000269|PubMed:25561023, ECO:0000269|PubMed:9197268, ECO:0000269|PubMed:9462735}. Note=The disease is caused by mutations affecting the gene represented in this entry.; DISEASE: Parkinson disease 4 (PARK4) [MIM:605543]: A complex neurodegenerative disorder with manifestations ranging from typical Parkinson disease to dementia with Lewy bodies. Clinical features include parkinsonian symptoms (resting tremor, rigidity, postural instability and bradykinesia), dementia, diffuse Lewy body pathology, autonomic dysfunction, hallucinations and paranoia. Note=The disease is caused by mutations affecting the gene represented in this entry.; DISEASE: Dementia Lewy body (DLB) [MIM:127750]: A neurodegenerative disorder characterized by mental impairment leading to dementia, parkinsonism, fluctuating cognitive function, visual hallucinations, falls, syncopal episodes, and sensitivity to neuroleptic medication. Brainstem or cortical intraneuronal accumulations of aggregated proteins (Lewy bodies) are the only essential pathologic features. Patients may also have hippocampal and neocortical senile plaques, sometimes in sufficient number to fulfill the diagnostic criteria for Alzheimer disease. {ECO:0000269|PubMed:14755719}. Note=The disease is caused by mutations affecting the gene represented in this entry.; </t>
  </si>
  <si>
    <t xml:space="preserve">1437.02</t>
  </si>
  <si>
    <t xml:space="preserve">0,20,19</t>
  </si>
  <si>
    <t xml:space="preserve">NM_001146055:c.*1275_*1274delCT;NM_001146054:c.*1275_*1274delCT;NM_007308:c.*1275_*1274delCT;NM_000345:c.*1275_*1274delCT;uc010ikt.4:c.*1275_*1274delCT;uc003hsq.3:c.*1275_*1274delCT;uc003hso.3:c.*1275_*1274delCT;uc031sgd.1:c.*1275_*1274delCT;uc003hsp.3:c.*1275_*1274delCT;uc031sgg.1:c.*1275_*1274delCT;uc031sgh.1:c.*1275_*1274delCT;uc003hsr.3:c.*1275_*1274delCT;uc031sgj.1:c.*1275_*1274delCT</t>
  </si>
  <si>
    <t xml:space="preserve">0.0125833671870721</t>
  </si>
  <si>
    <t xml:space="preserve">microsomal triglyceride transfer protein</t>
  </si>
  <si>
    <t xml:space="preserve">FUNCTION: Catalyzes the transport of triglyceride, cholesteryl ester, and phospholipid between phospholipid surfaces (PubMed:23475612, PubMed:8939939, PubMed:26224785, PubMed:25108285, PubMed:22236406). Required for the secretion of plasma lipoproteins that contain apolipoprotein B (PubMed:23475612, PubMed:8939939, PubMed:26224785). {ECO:0000269|PubMed:22236406, ECO:0000269|PubMed:23475612, ECO:0000269|PubMed:25108285, ECO:0000269|PubMed:26224785, ECO:0000269|PubMed:8939939}.; </t>
  </si>
  <si>
    <t xml:space="preserve">DISEASE: Abetalipoproteinemia (ABL) [MIM:200100]: An autosomal recessive disorder of lipoprotein metabolism. Affected individuals produce virtually no circulating apolipoprotein B-containing lipoproteins (chylomicrons, VLDL, LDL, lipoprotein(A)). Malabsorption of the antioxidant vitamin E occurs, leading to spinocerebellar and retinal degeneration. {ECO:0000269|PubMed:10679949, ECO:0000269|PubMed:10946006, ECO:0000269|PubMed:22236406, ECO:0000269|PubMed:23475612, ECO:0000269|PubMed:25108285, ECO:0000269|PubMed:26224785, ECO:0000269|PubMed:8939939}. Note=The disease is caused by mutations affecting the gene represented in this entry.; </t>
  </si>
  <si>
    <t xml:space="preserve">55,6</t>
  </si>
  <si>
    <t xml:space="preserve">688.64</t>
  </si>
  <si>
    <t xml:space="preserve">18,22</t>
  </si>
  <si>
    <t xml:space="preserve">0.00209421159390303</t>
  </si>
  <si>
    <t xml:space="preserve">SEC24 homolog D, COPII coat complex component</t>
  </si>
  <si>
    <t xml:space="preserve">FUNCTION: Component of the COPII coat, that covers ER-derived vesicles involved in transport from the endoplasmic reticulum to the Golgi apparatus. COPII acts in the cytoplasm to promote the transport of secretory, plasma membrane, and vacuolar proteins from the endoplasmic reticulum to the Golgi complex.; </t>
  </si>
  <si>
    <t xml:space="preserve">CAACCTCAGTTGATGCCTTCCCAGAGTCAACCTCCTGTGACGCCCTCCTAGAGC</t>
  </si>
  <si>
    <t xml:space="preserve">1836.60</t>
  </si>
  <si>
    <t xml:space="preserve">26,57</t>
  </si>
  <si>
    <t xml:space="preserve">ADAM29:NM_001278127:exon2:c.2412_2413insCAACCTCAGTTGATGCCTTCCCAGAGTCAACCTCCTGTGACGCCCTCCTAGAGC:p.R804delinsRQPQLMPSQSQPPVTPSX,ADAM29:NM_001130705:exon3:c.2412_2413insCAACCTCAGTTGATGCCTTCCCAGAGTCAACCTCCTGTGACGCCCTCCTAGAGC:p.R804delinsRQPQLMPSQSQPPVTPSX,ADAM29:NM_001130703:exon4:c.2412_2413insCAACCTCAGTTGATGCCTTCCCAGAGTCAACCTCCTGTGACGCCCTCCTAGAGC:p.R804delinsRQPQLMPSQSQPPVTPSX,ADAM29:NM_001130704:exon4:c.2412_2413insCAACCTCAGTTGATGCCTTCCCAGAGTCAACCTCCTGTGACGCCCTCCTAGAGC:p.R804delinsRQPQLMPSQSQPPVTPSX,ADAM29:NM_014269:exon5:c.2412_2413insCAACCTCAGTTGATGCCTTCCCAGAGTCAACCTCCTGTGACGCCCTCCTAGAGC:p.R804delinsRQPQLMPSQSQPPVTPSX,ADAM29:NM_001278125:exon6:c.2412_2413insCAACCTCAGTTGATGCCTTCCCAGAGTCAACCTCCTGTGACGCCCTCCTAGAGC:p.R804delinsRQPQLMPSQSQPPVTPSX,ADAM29:NM_001278126:exon6:c.2412_2413insCAACCTCAGTTGATGCCTTCCCAGAGTCAACCTCCTGTGACGCCCTCCTAGAGC:p.R804delinsRQPQLMPSQSQPPVTPSX;ADAM29:uc021xuo.1:exon1:c.2412_2413insCAACCTCAGTTGATGCCTTCCCAGAGTCAACCTCCTGTGACGCCCTCCTAGAGC:p.R804delinsRQPQLMPSQSQPPVTPSX,ADAM29:uc031shw.1:exon2:c.2412_2413insCAACCTCAGTTGATGCCTTCCCAGAGTCAACCTCCTGTGACGCCCTCCTAGAGC:p.R804delinsRQPQLMPSQSQPPVTPSX,ADAM29:uc011cki.2:exon3:c.2412_2413insCAACCTCAGTTGATGCCTTCCCAGAGTCAACCTCCTGTGACGCCCTCCTAGAGC:p.R804delinsRQPQLMPSQSQPPVTPSX,ADAM29:uc003iud.3:exon4:c.2412_2413insCAACCTCAGTTGATGCCTTCCCAGAGTCAACCTCCTGTGACGCCCTCCTAGAGC:p.R804delinsRQPQLMPSQSQPPVTPSX,ADAM29:uc010irr.3:exon4:c.2412_2413insCAACCTCAGTTGATGCCTTCCCAGAGTCAACCTCCTGTGACGCCCTCCTAGAGC:p.R804delinsRQPQLMPSQSQPPVTPSX,ADAM29:uc003iuc.3:exon5:c.2412_2413insCAACCTCAGTTGATGCCTTCCCAGAGTCAACCTCCTGTGACGCCCTCCTAGAGC:p.R804delinsRQPQLMPSQSQPPVTPSX,ADAM29:uc031shu.1:exon6:c.2412_2413insCAACCTCAGTTGATGCCTTCCCAGAGTCAACCTCCTGTGACGCCCTCCTAGAGC:p.R804delinsRQPQLMPSQSQPPVTPSX,ADAM29:uc031shv.1:exon6:c.2412_2413insCAACCTCAGTTGATGCCTTCCCAGAGTCAACCTCCTGTGACGCCCTCCTAGAGC:p.R804delinsRQPQLMPSQSQPPVTPSX;ENSG00000168594:ENST00000514159:exon3:c.2412_2413insCAACCTCAGTTGATGCCTTCCCAGAGTCAACCTCCTGTGACGCCCTCCTAGAGC:p.R804delinsRQPQLMPSQSQPPVTPSX,ENSG00000168594:ENST00000404450:exon4:c.2412_2413insCAACCTCAGTTGATGCCTTCCCAGAGTCAACCTCCTGTGACGCCCTCCTAGAGC:p.R804delinsRQPQLMPSQSQPPVTPSX,ENSG00000168594:ENST00000445694:exon4:c.2412_2413insCAACCTCAGTTGATGCCTTCCCAGAGTCAACCTCCTGTGACGCCCTCCTAGAGC:p.R804delinsRQPQLMPSQSQPPVTPSX,ENSG00000168594:ENST00000359240:exon5:c.2412_2413insCAACCTCAGTTGATGCCTTCCCAGAGTCAACCTCCTGTGACGCCCTCCTAGAGC:p.R804delinsRQPQLMPSQSQPPVTPSX</t>
  </si>
  <si>
    <t xml:space="preserve">4.69432338449837e-07</t>
  </si>
  <si>
    <t xml:space="preserve">ADAM metallopeptidase domain 29</t>
  </si>
  <si>
    <t xml:space="preserve">FUNCTION: May be involved in spermatogenesis and fertilization. Seems to be a non catalytic metalloprotease-like protein.; </t>
  </si>
  <si>
    <t xml:space="preserve">988.64</t>
  </si>
  <si>
    <t xml:space="preserve">18,25</t>
  </si>
  <si>
    <t xml:space="preserve">0.0888062839921232</t>
  </si>
  <si>
    <t xml:space="preserve">sorbin and SH3 domain containing 2</t>
  </si>
  <si>
    <t xml:space="preserve">FUNCTION: Adapter protein that plays a role in the assembling of signaling complexes, being a link between ABL kinases and actin cytoskeleton. Can form complex with ABL1 and CBL, thus promoting ubiquitination and degradation of ABL1 or with AKT1 and PAK1, thus mediating AKT1-mediated activation of PAK1. May play a role in the regulation of pancreatic cell adhesion, possibly by acting on WASF1 phosphorylation, enhancing phosphorylation by ABL1, as well as dephosphorylation by PTPN12 (PubMed:18559503). Isoform 6 increases water and sodium absorption in the intestine and gall- bladder. {ECO:0000269|PubMed:12475393, ECO:0000269|PubMed:18559503, ECO:0000269|PubMed:9211900}.; </t>
  </si>
  <si>
    <t xml:space="preserve">140.60</t>
  </si>
  <si>
    <t xml:space="preserve">85,14</t>
  </si>
  <si>
    <t xml:space="preserve">TRIML2:NM_001303419:exon8:c.1145delC:p.P382Lfs*2,TRIML2:NM_173553:exon8:c.1070delC:p.P357Lfs*2;TRIML2:uc003izk.1:exon4:c.344delC:p.P115Lfs*2,TRIML2:uc003izj.1:exon5:c.404delC:p.P135Lfs*2,TRIML2:uc003izl.2:exon7:c.920delC:p.P307Lfs*2,TRIML2:uc011cle.1:exon8:c.1145delC:p.P382Lfs*2;ENSG00000179046:ENST00000512729:exon7:c.920delC:p.P307Lfs*2,ENSG00000179046:ENST00000326754:exon8:c.995delC:p.P332Lfs*2</t>
  </si>
  <si>
    <t xml:space="preserve">8.26179056182447e-10</t>
  </si>
  <si>
    <t xml:space="preserve">tripartite motif family like 2</t>
  </si>
  <si>
    <t xml:space="preserve">CACACA</t>
  </si>
  <si>
    <t xml:space="preserve">1384.02</t>
  </si>
  <si>
    <t xml:space="preserve">0,22,14</t>
  </si>
  <si>
    <t xml:space="preserve">5.78867795702671e-37</t>
  </si>
  <si>
    <t xml:space="preserve">dynein axonemal heavy chain 5</t>
  </si>
  <si>
    <t xml:space="preserve">FUNCTION: Force generating protein of respiratory cilia. Produces force towards the minus ends of microtubules. Dynein has ATPase activity; the force-producing power stroke is thought to occur on release of ADP. Required for structural and functional integrity of the cilia of ependymal cells lining the brain ventricles.; </t>
  </si>
  <si>
    <t xml:space="preserve">DISEASE: Ciliary dyskinesia, primary, 3 (CILD3) [MIM:608644]: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{ECO:0000269|PubMed:11062149, ECO:0000269|PubMed:16627867, ECO:0000269|PubMed:25186273}. Note=The disease is caused by mutations affecting the gene represented in this entry.; DISEASE: Kartagener syndrome (KTGS) [MIM:244400]: An autosomal recessive disorder characterized by the association of primary ciliary dyskinesia with situs inversus. Clinical features include recurrent respiratory infections, bronchiectasis, infertility, and lateral transposition of the viscera of the thorax and abdomen. The situs inversus is most often total, although it can be partial in some cases (isolated dextrocardia or isolated transposition of abdominal viscera). {ECO:0000269|PubMed:11788826}. Note=The disease is caused by mutations affecting the gene represented in this entry.; </t>
  </si>
  <si>
    <t xml:space="preserve">1185.02</t>
  </si>
  <si>
    <t xml:space="preserve">79</t>
  </si>
  <si>
    <t xml:space="preserve">12,37,30</t>
  </si>
  <si>
    <t xml:space="preserve">64.64</t>
  </si>
  <si>
    <t xml:space="preserve">0.00396952046057879</t>
  </si>
  <si>
    <t xml:space="preserve">myosin X</t>
  </si>
  <si>
    <t xml:space="preserve">FUNCTION: Myosins are actin-based motor molecules with ATPase activity. Unconventional myosins serve in intracellular movements. MYO10 binds to actin filaments and actin bundles and functions as plus end-directed motor. The tail domain binds to membranous compartments containing phosphatidylinositol 3,4,5-trisphosphate or integrins, and mediates cargo transport along actin filaments. Regulates cell shape, cell spreading and cell adhesion. Stimulates the formation and elongation of filopodia. May play a role in neurite outgrowth and axon guidance. In hippocampal neurons it induces the formation of dendritic filopodia by trafficking the actin-remodeling protein VASP to the tips of filopodia, where it promotes actin elongation. Plays a role in formation of the podosome belt in osteoclasts. {ECO:0000269|PubMed:16894163, ECO:0000269|PubMed:18570893}.; </t>
  </si>
  <si>
    <t xml:space="preserve">36.60</t>
  </si>
  <si>
    <t xml:space="preserve">13,3</t>
  </si>
  <si>
    <t xml:space="preserve">0.998072118460426</t>
  </si>
  <si>
    <t xml:space="preserve">mitogen-activated protein kinase kinase kinase 1</t>
  </si>
  <si>
    <t xml:space="preserve">FUNCTION: Component of a protein kinase signal transduction cascade. Activates the ERK and JNK kinase pathways by phosphorylation of MAP2K1 and MAP2K4. Activates CHUK and IKBKB, the central protein kinases of the NF-kappa-B pathway. {ECO:0000269|PubMed:9808624}.; </t>
  </si>
  <si>
    <t xml:space="preserve">DISEASE: 46,XY sex reversal 6 (SRXY6) [MIM:613762]: A disorder of sex development. Affected individuals have a 46,XY karyotype but present as phenotypically normal females. {ECO:0000269|PubMed:21129722}. Note=The disease is caused by mutations affecting the gene represented in this entry.; </t>
  </si>
  <si>
    <t xml:space="preserve">58,10</t>
  </si>
  <si>
    <t xml:space="preserve">NLN:uc003jue.3:exon9:c.1533dupT:p.P515Sfs*8</t>
  </si>
  <si>
    <t xml:space="preserve">3.59597227684907e-07</t>
  </si>
  <si>
    <t xml:space="preserve">neurolysin</t>
  </si>
  <si>
    <t xml:space="preserve">FUNCTION: Hydrolyzes oligopeptides such as neurotensin, bradykinin and dynorphin A. {ECO:0000250}.; </t>
  </si>
  <si>
    <t xml:space="preserve">250.64</t>
  </si>
  <si>
    <t xml:space="preserve">6,10</t>
  </si>
  <si>
    <t xml:space="preserve">0.00424617418418377</t>
  </si>
  <si>
    <t xml:space="preserve">myocyte enhancer factor 2C</t>
  </si>
  <si>
    <t xml:space="preserve">FUNCTION: Transcription activator which binds specifically to the MEF2 element present in the regulatory regions of many muscle- specific genes. Controls cardiac morphogenesis and myogenesis, and is also involved in vascular development. Plays an essential role in hippocampal-dependent learning and memory by suppressing the number of excitatory synapses and thus regulating basal and evoked synaptic transmission. Crucial for normal neuronal development, distribution, and electrical activity in the neocortex. Necessary for proper development of megakaryocytes and platelets and for bone marrow B-lymphopoiesis. Required for B-cell survival and proliferation in response to BCR stimulation, efficient IgG1 antibody responses to T-cell-dependent antigens and for normal induction of germinal center B-cells. May also be involved in neurogenesis and in the development of cortical architecture (By similarity). Isoform 3 and isoform 4, which lack the repressor domain, are more active than isoform 1 and isoform 2. {ECO:0000250, ECO:0000269|PubMed:11904443, ECO:0000269|PubMed:15340086, ECO:0000269|PubMed:15831463, ECO:0000269|PubMed:15834131, ECO:0000269|PubMed:9069290, ECO:0000269|PubMed:9384584}.; </t>
  </si>
  <si>
    <t xml:space="preserve">DISEASE: Mental retardation, autosomal dominant 20 (MRD20) [MIM:613443]: A disorder characterized by severe mental retardation, absent speech, hypotonia, poor eye contact and stereotypic movements. Dysmorphic features include high broad forehead with variable small chin, short nose with anteverted nares, large open mouth, upslanted palpebral fissures and prominent eyebrows. Some patients have seizures. {ECO:0000269|PubMed:19592390}. Note=The disease is caused by mutations affecting the gene represented in this entry.; </t>
  </si>
  <si>
    <t xml:space="preserve">AAAA</t>
  </si>
  <si>
    <t xml:space="preserve">301.02</t>
  </si>
  <si>
    <t xml:space="preserve">13,10,15</t>
  </si>
  <si>
    <t xml:space="preserve">0.0896398214145992</t>
  </si>
  <si>
    <t xml:space="preserve">proprotein convertase subtilisin/kexin type 1</t>
  </si>
  <si>
    <t xml:space="preserve">FUNCTION: Involved in the processing of hormone and other protein precursors at sites comprised of pairs of basic amino acid residues. Substrates include POMC, renin, enkephalin, dynorphin, somatostatin, insulin and AGRP. {ECO:0000250|UniProtKB:P63239}.; </t>
  </si>
  <si>
    <t xml:space="preserve">DISEASE: Proprotein convertase 1 deficiency (PC1 deficiency) [MIM:600955]: Characterized by obesity, hypogonadism, hypoadrenalism, reactive hypoglycemia as well as marked small- intestinal absorptive dysfunction It is due to impaired processing of prohormones. {ECO:0000269|PubMed:14617756, ECO:0000269|PubMed:17595246, ECO:0000269|PubMed:9207799}. Note=The disease is caused by mutations affecting the gene represented in this entry.; </t>
  </si>
  <si>
    <t xml:space="preserve">671.64</t>
  </si>
  <si>
    <t xml:space="preserve">29,25</t>
  </si>
  <si>
    <t xml:space="preserve">2.16048560607966e-05</t>
  </si>
  <si>
    <t xml:space="preserve">DTW domain containing 2</t>
  </si>
  <si>
    <t xml:space="preserve">1248.64</t>
  </si>
  <si>
    <t xml:space="preserve">28,50</t>
  </si>
  <si>
    <t xml:space="preserve">0.088562272207543</t>
  </si>
  <si>
    <t xml:space="preserve">acyl-CoA synthetase long-chain family member 6</t>
  </si>
  <si>
    <t xml:space="preserve">FUNCTION: Activation of long-chain fatty acids for both synthesis of cellular lipids, and degradation via beta-oxidation. Plays an important role in fatty acid metabolism in brain and the acyl-CoAs produced may be utilized exclusively for the synthesis of the brain lipid.; </t>
  </si>
  <si>
    <t xml:space="preserve">DISEASE: Note=A chromosomal aberration involving ACSL6 may be a cause of myelodysplastic syndrome with basophilia. Translocation t(5;12)(q31;p13) with ETV6. {ECO:0000269|PubMed:10502316}.; DISEASE: Note=A chromosomal aberration involving ACSL6 may be a cause of acute myelogenous leukemia with eosinophilia. Translocation t(5;12)(q31;p13) with ETV6. {ECO:0000269|PubMed:10502316}.; DISEASE: Note=A chromosomal aberration involving ACSL6 may be a cause of acute eosinophilic leukemia (AEL). Translocation t(5;12)(q31;p13) with ETV6. {ECO:0000269|PubMed:10502316}.; </t>
  </si>
  <si>
    <t xml:space="preserve">779.64</t>
  </si>
  <si>
    <t xml:space="preserve">25,26</t>
  </si>
  <si>
    <t xml:space="preserve">0.0500580580449508</t>
  </si>
  <si>
    <t xml:space="preserve">CD74 molecule</t>
  </si>
  <si>
    <t xml:space="preserve">FUNCTION: Plays a critical role in MHC class II antigen processing by stabilizing peptide-free class II alpha/beta heterodimers in a complex soon after their synthesis and directing transport of the complex from the endoplasmic reticulum to the endosomal/lysosomal system where the antigen processing and binding of antigenic peptides to MHC class II takes place. Serves as cell surface receptor for the cytokine MIF.; </t>
  </si>
  <si>
    <t xml:space="preserve">DISEASE: Note=A chromosomal aberration involving CD74 is found in a non-small cell lung tumor. Results in the formation of a CD74- ROS1 chimeric protein. {ECO:0000269|PubMed:12661006}.; </t>
  </si>
  <si>
    <t xml:space="preserve">88.64</t>
  </si>
  <si>
    <t xml:space="preserve">NM_001366498:exon8:UTR5;NM_001366500:exon6:c.937-2A&gt;C;NM_001366499:exon7:UTR5;uc021yiw.1:exon2:UTR5;uc003mht.3:exon4:UTR5;uc003mhv.3:exon6:UTR5;ENST00000329540:exon8:UTR5;ENST00000443375:exon7:c.937-2A&gt;C;ENST00000506955:exon8:c.2695-2A&gt;C;ENST00000506955:exon8:UTR3;ENST00000510479:exon6:c.926-2A&gt;C;ENST00000510479:exon6:UTR3;ENST00000510163:exon4:c.412-2A&gt;C;ENST00000510163:exon4:UTR3;ENST00000524677:exon2:c.92-2A&gt;C</t>
  </si>
  <si>
    <t xml:space="preserve">0.923710453002021</t>
  </si>
  <si>
    <t xml:space="preserve">family with sequence similarity 193 member B</t>
  </si>
  <si>
    <t xml:space="preserve">30,26</t>
  </si>
  <si>
    <t xml:space="preserve">0.368163912185113</t>
  </si>
  <si>
    <t xml:space="preserve">PAK1 interacting protein 1</t>
  </si>
  <si>
    <t xml:space="preserve">FUNCTION: Negatively regulates the PAK1 kinase. PAK1 is a member of the PAK kinase family, which have been shown to play a positive role in the regulation of signaling pathways involving MAPK8 and RELA. PAK1 exists as an inactive homodimer, which is activated by binding of small GTPases such as CDC42 to an N-terminal regulatory domain. PAK1IP1 also binds to the N-terminus of PAK1, and inhibits the specific activation of PAK1 by CDC42. {ECO:0000269|PubMed:11371639}.; </t>
  </si>
  <si>
    <t xml:space="preserve">1126.01</t>
  </si>
  <si>
    <t xml:space="preserve">8,23,27</t>
  </si>
  <si>
    <t xml:space="preserve">NM_001278209:exon18:c.2558-2-&gt;TTT;NM_001278210:exon16:c.2339-2-&gt;TTT;NM_005124:exon17:c.2465-2-&gt;TTT;uc011dje.2:exon18:c.2558-2-&gt;TTT;uc003ncd.2:exon17:c.2465-2-&gt;TTT;uc010jpl.2:exon16:c.2339-2-&gt;TTT;ENST00000262077:exon17:c.2465-2-&gt;TTT;ENST00000537253:exon18:c.2558-2-&gt;TTT</t>
  </si>
  <si>
    <t xml:space="preserve">0.999994457328352</t>
  </si>
  <si>
    <t xml:space="preserve">nucleoporin 153kDa</t>
  </si>
  <si>
    <t xml:space="preserve">FUNCTION: Component of the nuclear pore complex (NPC), a complex required for the trafficking across the nuclear envelope. Functions as a scaffolding element in the nuclear phase of the NPC essential for normal nucleocytoplasmic transport of proteins and mRNAs. Involved in the quality control and retention of unspliced mRNAs in the nucleus; in association with TPR, regulates the nuclear export of unspliced mRNA species bearing constitutive transport element (CTE) in a NXF1- and KHDRBS1-independent manner. Mediates TPR anchoring to the nuclear membrane at NPC. The repeat- containing domain may be involved in anchoring other components of the NPC to the pore membrane. Possible DNA-binding subunit of the nuclear pore complex (NPC). {ECO:0000269|PubMed:12802065, ECO:0000269|PubMed:15229283, ECO:0000269|PubMed:22253824}.; </t>
  </si>
  <si>
    <t xml:space="preserve">117.64</t>
  </si>
  <si>
    <t xml:space="preserve">7.95792630986591e-12</t>
  </si>
  <si>
    <t xml:space="preserve">KIAA0319</t>
  </si>
  <si>
    <t xml:space="preserve">FUNCTION: Involved in neuronal migration during development of the cerebral neocortex. May function in a cell autonomous and a non- cell autonomous manner and play a role in appropriate adhesion between migrating neurons and radial glial fibers. May also regulate growth and differentiation of dendrites. {ECO:0000269|PubMed:19679544}.; </t>
  </si>
  <si>
    <t xml:space="preserve">DISEASE: Dyslexia 2 (DYX2) [MIM:600202]: A relatively common, complex cognitive disorder characterized by an impairment of reading performance despite adequate motivational, educational and intellectual opportunities. It is a multifactorial trait, with evidence for familial clustering and heritability. {ECO:0000269|PubMed:16600991}. Note=Disease susceptibility is associated with variations affecting the gene represented in this entry.; </t>
  </si>
  <si>
    <t xml:space="preserve">839.64</t>
  </si>
  <si>
    <t xml:space="preserve">22,32</t>
  </si>
  <si>
    <t xml:space="preserve">0.971310088681335</t>
  </si>
  <si>
    <t xml:space="preserve">family with sequence similarity 65 member B</t>
  </si>
  <si>
    <t xml:space="preserve">FUNCTION: Required for hearing (PubMed:24958875). Involved in skeletal muscle development (PubMed:24687993). {ECO:0000269|PubMed:24687993, ECO:0000269|PubMed:24958875}.; </t>
  </si>
  <si>
    <t xml:space="preserve">DISEASE: Note=FAM65B mutations may be a cause of non-syndromic deafness. A splice site mutation causing in-frame skipping of exon 3 has been found in a large consanguineous kindred with recessive non-syndromic, prelingual, profound hearing loss. The mutation perfectly cosegregates with the phenotype in the family. {ECO:0000269|PubMed:24958875}.; </t>
  </si>
  <si>
    <t xml:space="preserve">48.64</t>
  </si>
  <si>
    <t xml:space="preserve">71</t>
  </si>
  <si>
    <t xml:space="preserve">65,6</t>
  </si>
  <si>
    <t xml:space="preserve">5.62352879494898e-05</t>
  </si>
  <si>
    <t xml:space="preserve">major histocompatibility complex, class II, DR beta 1;major histocompatibility complex, class II, DR beta 6 (pseudogene)</t>
  </si>
  <si>
    <t xml:space="preserve">FUNCTION: Binds peptides derived from antigens that access the endocytic route of antigen presenting cells (APC) and presents them on the cell surface for recognition by the CD4 T-cells. The peptide binding cleft accommodates peptides of 10-30 residues. The peptides presented by MHC class II molecules are generated mostly by degradation of proteins that access the endocytic route, where they are processed by lysosomal proteases and other hydrolases. Exogenous antigens that have been endocytosed by the APC are thus readily available for presentation via MHC II molecules, and for this reason this antigen presentation pathway is usually referred to as exogenous. As membrane proteins on their way to degradation in lysosomes as part of their normal turn-over are also contained in the endosomal/lysosomal compartments, exogenous antigens must compete with those derived from endogenous components. Autophagy is also a source of endogenous peptides, autophagosomes constitutively fuse with MHC class II loading compartments. In addition to APCs, other cells of the gastrointestinal tract, such as epithelial cells, express MHC class II molecules and CD74 and act as APCs, which is an unusual trait of the GI tract. To produce a MHC class II molecule that presents an antigen, three MHC class II molecules (heterodimers of an alpha and a beta chain) associate with a CD74 trimer in the ER to form a heterononamer. Soon after the entry of this complex into the endosomal/lysosomal system where antigen processing occurs, CD74 undergoes a sequential degradation by various proteases, including CTSS and CTSL, leaving a small fragment termed CLIP (class-II-associated invariant chain peptide). The removal of CLIP is facilitated by HLA-DM via direct binding to the alpha-beta-CLIP complex so that CLIP is released. HLA-DM stabilizes MHC class II molecules until primary high affinity antigenic peptides are bound. The MHC II molecule bound to a peptide is then transported to the cell membrane surface. In B-cells, the interaction between HLA-DM and MHC class II molecules is regulated by HLA-DO. Primary dendritic cells (DCs) also to express HLA-DO. Lysosomal microenvironment has been implicated in the regulation of antigen loading into MHC II molecules, increased acidification produces increased proteolysis and efficient peptide loading.; </t>
  </si>
  <si>
    <t xml:space="preserve">MHC</t>
  </si>
  <si>
    <t xml:space="preserve">1417.04</t>
  </si>
  <si>
    <t xml:space="preserve">0,34,20</t>
  </si>
  <si>
    <t xml:space="preserve">NM_001243965:exon2:c.101-1G&gt;0</t>
  </si>
  <si>
    <t xml:space="preserve">major histocompatibility complex, class II, DR beta 1</t>
  </si>
  <si>
    <t xml:space="preserve">1111.64</t>
  </si>
  <si>
    <t xml:space="preserve">40,42</t>
  </si>
  <si>
    <t xml:space="preserve">0.667933555724909</t>
  </si>
  <si>
    <t xml:space="preserve">glycine N-methyltransferase</t>
  </si>
  <si>
    <t xml:space="preserve">FUNCTION: Catalyzes the methylation of glycine by using S- adenosylmethionine (AdoMet) to form N-methylglycine (sarcosine) with the concomitant production of S-adenosylhomocysteine (AdoHcy). Possible crucial role in the regulation of tissue concentration of AdoMet and of metabolism of methionine. {ECO:0000269|PubMed:15340920, ECO:0000269|PubMed:17660255}.; </t>
  </si>
  <si>
    <t xml:space="preserve">504.64</t>
  </si>
  <si>
    <t xml:space="preserve">5,15</t>
  </si>
  <si>
    <t xml:space="preserve">0.00284958751998099</t>
  </si>
  <si>
    <t xml:space="preserve">peroxisomal biogenesis factor 6</t>
  </si>
  <si>
    <t xml:space="preserve">FUNCTION: Involved in peroxisome biosynthesis. Required for stability of the PTS1 receptor. Anchored by PEX26 to peroxisome membranes, possibly to form heteromeric AAA ATPase complexes required for the import of proteins into peroxisomes.; </t>
  </si>
  <si>
    <t xml:space="preserve">DISEASE: Peroxisome biogenesis disorder complementation group 4 (PBD-CG4) [MIM:614862]: A peroxisomal disorder arising from a failure of protein import into the peroxisomal membrane or matrix. The peroxisome biogenesis disorders (PBD group) are genetically heterogeneous with at least 14 distinct genetic groups as concluded from complementation studies. Include disorders are: Zellweger syndrome (ZWS), neonatal adrenoleukodystrophy (NALD), infantile Refsum disease (IRD), and classical rhizomelic chondrodysplasia punctata (RCDP). ZWS, NALD and IRD are distinct from RCDP and constitute a clinical continuum of overlapping phenotypes known as the Zellweger spectrum (PBD-ZSS). {ECO:0000269|PubMed:19105186, ECO:0000269|PubMed:26387595}. Note=The disease is caused by mutations affecting the gene represented in this entry.; DISEASE: Peroxisome biogenesis disorder 4A (PBD4A) [MIM:614862]: A fatal peroxisome biogenesis disorder belonging to the Zellweger disease spectrum and clinically characterized by severe neurologic dysfunction with profound psychomotor retardation, severe hypotonia and neonatal seizures, craniofacial abnormalities, liver dysfunction, and biochemically by the absence of peroxisomes. Additional features include cardiovascular and skeletal defects, renal cysts, ocular abnormalities, and hearing impairment. Most severely affected individuals with the classic form of the disease (classic Zellweger syndrome) die within the first year of life. {ECO:0000269|PubMed:10408779, ECO:0000269|PubMed:8670792}. Note=The disease is caused by mutations affecting the gene represented in this entry.; DISEASE: Peroxisome biogenesis disorder 4B (PBD4B) [MIM:614863]: A peroxisome biogenesis disorder that includes neonatal adrenoleukodystrophy (NALD) and infantile Refsum disease (IRD), two milder manifestations of the Zellweger disease spectrum. The clinical course of patients with the NALD and IRD presentation is variable and may include developmental delay, hypotonia, liver dysfunction, sensorineural hearing loss, retinal dystrophy and vision impairment. Children with the NALD presentation may reach their teens, while patients with the IRD presentation may reach adulthood. The clinical conditions are often slowly progressive in particular with respect to loss of hearing and vision. The biochemical abnormalities include accumulation of phytanic acid, very long chain fatty acids (VLCFA), di- and trihydroxycholestanoic acid and pipecolic acid. {ECO:0000269|PubMed:11355018}. Note=The disease is caused by mutations affecting the gene represented in this entry.; </t>
  </si>
  <si>
    <t xml:space="preserve">253.64</t>
  </si>
  <si>
    <t xml:space="preserve">32,11</t>
  </si>
  <si>
    <t xml:space="preserve">0.0292114494347639</t>
  </si>
  <si>
    <t xml:space="preserve">regulating synaptic membrane exocytosis 1</t>
  </si>
  <si>
    <t xml:space="preserve">FUNCTION: Rab effector involved in exocytosis (By similarity). May act as scaffold protein that regulates neurotransmitter release at the active zone. Essential for maintaining normal probability of neurotransmitter release and for regulating release during short- term synaptic plasticity (By similarity). Plays a role in dendrite formation by melanocytes (PubMed:23999003). {ECO:0000250|UniProtKB:Q99NE5, ECO:0000269|PubMed:23999003}.; </t>
  </si>
  <si>
    <t xml:space="preserve">DISEASE: Cone-rod dystrophy 7 (CORD7) [MIM:603649]: An inherited retinal dystrophy characterized by retinal pigment deposits visible on fundus examination, predominantly in the macular region, and initial loss of cone photoreceptors followed by rod degeneration. This leads to decreased visual acuity and sensitivity in the central visual field, followed by loss of peripheral vision. Severe loss of vision occurs earlier than in retinitis pigmentosa. {ECO:0000269|PubMed:12659814}. Note=The disease may be caused by mutations affecting the gene represented in this entry.; </t>
  </si>
  <si>
    <t xml:space="preserve">1071.64</t>
  </si>
  <si>
    <t xml:space="preserve">31,40</t>
  </si>
  <si>
    <t xml:space="preserve">6.82016832652361e-05</t>
  </si>
  <si>
    <t xml:space="preserve">DEAD-box helicase 43</t>
  </si>
  <si>
    <t xml:space="preserve">852</t>
  </si>
  <si>
    <t xml:space="preserve">4,10,18</t>
  </si>
  <si>
    <t xml:space="preserve">7.10960921485341e-05</t>
  </si>
  <si>
    <t xml:space="preserve">TRAF3 interacting protein 2;TRAF3IP2 antisense RNA 1</t>
  </si>
  <si>
    <t xml:space="preserve">FUNCTION: Could be involved in the activation of both NF-kappa-B via a NF-kappa-B inhibitor kinase (IKK)-dependent mechanism and stress-activated protein kinase (SAPK)/JNK.; </t>
  </si>
  <si>
    <t xml:space="preserve">DISEASE: Candidiasis, familial, 8 (CANDF8) [MIM:615527]: A primary immunodeficiency disorder with altered immune responses and impaired clearance of fungal infections, selective against Candida. It is characterized by persistent and/or recurrent infections of the skin, nails and mucous membranes caused by organisms of the genus Candida, mainly Candida albicans. {ECO:0000269|PubMed:24120361}. Note=The disease is caused by mutations affecting the gene represented in this entry.; </t>
  </si>
  <si>
    <t xml:space="preserve">53.60</t>
  </si>
  <si>
    <t xml:space="preserve">1.81677623808329e-10</t>
  </si>
  <si>
    <t xml:space="preserve">triadin</t>
  </si>
  <si>
    <t xml:space="preserve">FUNCTION: Contributes to the regulation of lumenal Ca2+ release via the sarcoplasmic reticulum calcium release channels RYR1 and RYR2, a key step in triggering skeletal and heart muscle contraction. Required for normal organization of the triad junction, where T-tubules and the sarcoplasmic reticulum terminal cisternae are in close contact (By similarity). Required for normal skeletal muscle strength. Plays a role in excitation- contraction coupling in the heart and in regulating the rate of heart beats. {ECO:0000250|UniProtKB:E9Q9K5, ECO:0000269|PubMed:22422768}.; </t>
  </si>
  <si>
    <t xml:space="preserve">DISEASE: Ventricular tachycardia, catecholaminergic polymorphic, 5, with or without muscle weakness (CPVT5) [MIM:615441]: An arrhythmogenic disorder characterized by stress-induced, bidirectional ventricular tachycardia that may degenerate into cardiac arrest and cause sudden death. Patients present with recurrent syncope, or sudden death after physical activity or emotional stress. Some patients have muscle weakness. {ECO:0000269|PubMed:22422768}. Note=The disease is caused by mutations affecting the gene represented in this entry.; </t>
  </si>
  <si>
    <t xml:space="preserve">57,19</t>
  </si>
  <si>
    <t xml:space="preserve">2.30987361236777e-05</t>
  </si>
  <si>
    <t xml:space="preserve">ectonucleotide pyrophosphatase/phosphodiesterase 1</t>
  </si>
  <si>
    <t xml:space="preserve">FUNCTION: By generating PPi, plays a role in regulating pyrophosphate levels, and functions in bone mineralization and soft tissue calcification. PPi inhibits mineralization by binding to nascent hydroxyapatite (HA) crystals, thereby preventing further growth of these crystals. Preferentially hydrolyzes ATP, but can also hydrolyze other nucleoside 5' triphosphates such as GTP, CTP, TTP and UTP to their corresponding monophosphates with release of pyrophosphate and diadenosine polyphosphates, and also 3',5'-cAMP to AMP. May also be involved in the regulation of the availability of nucleotide sugars in the endoplasmic reticulum and Golgi, and the regulation of purinergic signaling. Appears to modulate insulin sensitivity and function. {ECO:0000269|PubMed:10615944, ECO:0000269|PubMed:8001561}.; </t>
  </si>
  <si>
    <t xml:space="preserve">DISEASE: Ossification of the posterior longitudinal ligament of the spine (OPLL) [MIM:602475]: A calcification of the posterior longitudinal ligament of the spinal column, usually at the level of the cervical spine. Patients with OPLL frequently present with a severe myelopathy that can lead to tetraparesis. {ECO:0000269|PubMed:10453738}. Note=The disease is caused by mutations affecting the gene represented in this entry.; DISEASE: Arterial calcification of infancy, generalized, 1 (GACI1) [MIM:208000]: A severe autosomal recessive disorder characterized by calcification of the internal elastic lamina of muscular arteries and stenosis due to myointimal proliferation. The disorder is often fatal within the first 6 months of life because of myocardial ischemia resulting in refractory heart failure. {ECO:0000269|PubMed:12881724, ECO:0000269|PubMed:15605415, ECO:0000269|PubMed:15940697, ECO:0000269|PubMed:22209248}. Note=The disease is caused by mutations affecting the gene represented in this entry.; DISEASE: Diabetes mellitus, non-insulin-dependent (NIDDM) [MIM:125853]: A multifactorial disorder of glucose homeostasis caused by a lack of sensitivity to the body's own insulin. Affected individuals usually have an obese body habitus and manifestations of a metabolic syndrome characterized by diabetes, insulin resistance, hypertension and hypertriglyceridemia. The disease results in long-term complications that affect the eyes, kidneys, nerves, and blood vessels. {ECO:0000269|PubMed:16186408}. Note=Disease susceptibility is associated with variations affecting the gene represented in this entry.; DISEASE: Hypophosphatemic rickets, autosomal recessive, 2 (ARHR2) [MIM:613312]: A hereditary form of hypophosphatemic rickets, a disorder of proximal renal tubule function that causes phosphate loss, hypophosphatemia and skeletal deformities, including rickets and osteomalacia unresponsive to vitamin D. Symptoms are bone pain, fractures and growth abnormalities. {ECO:0000269|PubMed:20137772, ECO:0000269|PubMed:20137773}. Note=The disease is caused by mutations affecting the gene represented in this entry.; DISEASE: Cole disease (COLED) [MIM:615522]: A rare autosomal dominant genodermatosis characterized by punctate keratoderma associated with irregularly shaped hypopigmented macules, which are typically found over the arms and legs but not the trunk or acral regions. Skin biopsies of palmoplantar lesions show hyperorthokeratosis, hypergranulosis, and acanthosis. Hypopigmented areas of skin, however, reveal a reduction in melanin content in keratinocytes but not in melanocytes, as well as hyperkeratosis and a normal number of melanocytes. Ultrastructurally, melanocytes show a disproportionately large number of melanosomes in the cytoplasm and dendrites, whereas keratinocytes show a paucity of these organelles, suggestive of impaired melanosome transfer. Some patients also exhibit calcinosis cutis or calcific tendinopathy. {ECO:0000269|PubMed:24075184}. Note=The disease is caused by mutations affecting the gene represented in this entry.; </t>
  </si>
  <si>
    <t xml:space="preserve">37.25</t>
  </si>
  <si>
    <t xml:space="preserve">dist=37737;dist=21799</t>
  </si>
  <si>
    <t xml:space="preserve">AAAAA</t>
  </si>
  <si>
    <t xml:space="preserve">380.60</t>
  </si>
  <si>
    <t xml:space="preserve">33,18</t>
  </si>
  <si>
    <t xml:space="preserve">NM_001243325:exon4:c.515-2-&gt;TTTTT;NM_139165:exon4:c.623-2-&gt;TTTTT;uc003qnl.1:exon4:c.623-2-&gt;TTTTT;uc003qnk.2:exon4:c.515-2-&gt;TTTTT;ENST00000357183:exon4:c.623-2-&gt;TTTTT;ENST00000392270:exon4:c.517-2-&gt;TTTTT;ENST00000392270:exon4:UTR3;ENST00000367363:exon4:c.515-2-&gt;TTTTT</t>
  </si>
  <si>
    <t xml:space="preserve">1.85957575867062e-05</t>
  </si>
  <si>
    <t xml:space="preserve">retinoic acid early transcript 1E</t>
  </si>
  <si>
    <t xml:space="preserve">FUNCTION: Ligand for the KLRK1 receptor. Delivers activating signals to NK cells and promotes tumor immune surveillance by inducing the expansion of anti-tumor cytotoxic lymphocytes.; </t>
  </si>
  <si>
    <t xml:space="preserve">2,5</t>
  </si>
  <si>
    <t xml:space="preserve">3.75068139299055e-27</t>
  </si>
  <si>
    <t xml:space="preserve">microRNA 3163;spectrin repeat containing, nuclear envelope 1</t>
  </si>
  <si>
    <t xml:space="preserve">FUNCTION: Multi-isomeric modular protein which forms a linking network between organelles and the actin cytoskeleton to maintain the subcellular spatial organization. Component of SUN-protein- containing multivariate complexes also called LINC complexes which link the nucleoskeleton and cytoskeleton by providing versatile outer nuclear membrane attachment sites for cytoskeletal filaments. May be involved in the maintenance of nuclear organization and structural integrity. Connects nuclei to the cytoskeleton by interacting with the nuclear envelope and with F- actin in the cytoplasm. May be required for centrosome migration to the apical cell surface during early ciliogenesis. {ECO:0000269|PubMed:11792814, ECO:0000269|PubMed:18396275}.; </t>
  </si>
  <si>
    <t xml:space="preserve">DISEASE: Spinocerebellar ataxia, autosomal recessive, 8 (SCAR8) [MIM:610743]: Spinocerebellar ataxia is a clinically and genetically heterogeneous group of cerebellar disorders. Patients show progressive incoordination of gait and often poor coordination of hands, speech and eye movements, due to degeneration of the cerebellum with variable involvement of the brainstem and spinal cord. SCAR8 is an autosomal recessive form. {ECO:0000269|PubMed:17159980}. Note=The disease is caused by mutations affecting the gene represented in this entry.; DISEASE: Emery-Dreifuss muscular dystrophy 4, autosomal dominant (EDMD4) [MIM:612998]: A form of Emery-Dreifuss muscular dystrophy, a degenerative myopathy characterized by weakness and atrophy of muscle without involvement of the nervous system, early contractures of the elbows, Achilles tendons and spine, and cardiomyopathy associated with cardiac conduction defects. {ECO:0000269|PubMed:17761684}. Note=The disease is caused by mutations affecting the gene represented in this entry.; </t>
  </si>
  <si>
    <t xml:space="preserve">26,6</t>
  </si>
  <si>
    <t xml:space="preserve">784.64</t>
  </si>
  <si>
    <t xml:space="preserve">22,26</t>
  </si>
  <si>
    <t xml:space="preserve">5.14902401948958e-13</t>
  </si>
  <si>
    <t xml:space="preserve">FERM domain containing 1</t>
  </si>
  <si>
    <t xml:space="preserve">23,9</t>
  </si>
  <si>
    <t xml:space="preserve">radial spoke head 10 homolog B (Chlamydomonas);radial spoke head 10 homolog B2 (Chlamydomonas)</t>
  </si>
  <si>
    <t xml:space="preserve">749.02</t>
  </si>
  <si>
    <t xml:space="preserve">3,22,12</t>
  </si>
  <si>
    <t xml:space="preserve">NM_001101426:c.*3274_*3275insAA;NM_001368197:c.*3274_*3275insAA;NM_001101417:c.*3274_*3275insAA;uc010ktx.2:c.*3274_*3275insAA;uc010kty.2:c.*3274_*3275insAA</t>
  </si>
  <si>
    <t xml:space="preserve">0.00243660167412645</t>
  </si>
  <si>
    <t xml:space="preserve">isoprenoid synthase domain containing</t>
  </si>
  <si>
    <t xml:space="preserve">FUNCTION: Required for protein O-linked mannosylation. Probably acts as a nucleotidyltransferase involved in synthesis of a nucleotide sugar. Required for dystroglycan O-mannosylation. {ECO:0000269|PubMed:22522420, ECO:0000269|PubMed:22522421}.; </t>
  </si>
  <si>
    <t xml:space="preserve">DISEASE: Muscular dystrophy-dystroglycanopathy limb-girdle C7 (MDDGC7) [MIM:616052]: A form of muscular dystrophy resulting from defective glycosylation of alpha-dystroglycan, and characterized by a limb-girdle phenotype with muscular weakness apparent after ambulation is achieved. MDDGC7 individuals do not show epilepsy, mental retardation, structural eye/brain abnormalities, or white matter changes. {ECO:0000269|PubMed:23390185}. Note=The disease is caused by mutations affecting the gene represented in this entry.; </t>
  </si>
  <si>
    <t xml:space="preserve">209.64</t>
  </si>
  <si>
    <t xml:space="preserve">53,15</t>
  </si>
  <si>
    <t xml:space="preserve">0.999348689931056</t>
  </si>
  <si>
    <t xml:space="preserve">general transcription factor IIi</t>
  </si>
  <si>
    <t xml:space="preserve">FUNCTION: Interacts with the basal transcription machinery by coordinating the formation of a multiprotein complex at the C-FOS promoter, and linking specific signal responsive activator complexes. Promotes the formation of stable high-order complexes of SRF and PHOX1 and interacts cooperatively with PHOX1 to promote serum-inducible transcription of a reporter gene deriven by the C- FOS serum response element (SRE). Acts as a coregulator for USF1 by binding independently two promoter elements, a pyrimidine-rich initiator (Inr) and an upstream E-box. Required for the formation of functional ARID3A DNA-binding complexes and for activation of immunoglobulin heavy-chain transcription upon B-lymphocyte activation. {ECO:0000269|PubMed:10373551, ECO:0000269|PubMed:11373296, ECO:0000269|PubMed:16738337}.; </t>
  </si>
  <si>
    <t xml:space="preserve">DISEASE: Note=GTF2I is located in the Williams-Beuren syndrome (WBS) critical region. WBS results from a hemizygous deletion of several genes on chromosome 7q11.23, thought to arise as a consequence of unequal crossing over between highly homologous low-copy repeat sequences flanking the deleted region. Haploinsufficiency of GTF2I may be the cause of certain cardiovascular and musculo-skeletal abnormalities observed in the disease.; </t>
  </si>
  <si>
    <t xml:space="preserve">3.96976240276807e-05</t>
  </si>
  <si>
    <t xml:space="preserve">peroxisomal biogenesis factor 1</t>
  </si>
  <si>
    <t xml:space="preserve">FUNCTION: Required for stability of PEX5 and protein import into the peroxisome matrix. Anchored by PEX26 to peroxisome membranes, possibly to form heteromeric AAA ATPase complexes required for the import of proteins into peroxisomes.; </t>
  </si>
  <si>
    <t xml:space="preserve">DISEASE: Peroxisome biogenesis disorder complementation group 1 (PBD-CG1) [MIM:214100]: A peroxisomal disorder arising from a failure of protein import into the peroxisomal membrane or matrix. The peroxisome biogenesis disorders (PBD group) are genetically heterogeneous with at least 14 distinct genetic groups as concluded from complementation studies. Include disorders are: Zellweger syndrome (ZWS), neonatal adrenoleukodystrophy (NALD), infantile Refsum disease (IRD), and classical rhizomelic chondrodysplasia punctata (RCDP). ZWS, NALD and IRD are distinct from RCDP and constitute a clinical continuum of overlapping phenotypes known as the Zellweger spectrum (PBD-ZSS). {ECO:0000269|PubMed:19105186, ECO:0000269|PubMed:26387595}. Note=The disease is caused by mutations affecting the gene represented in this entry.; DISEASE: Peroxisome biogenesis disorder 1A (PBD1A) [MIM:214100]: A fatal peroxisome biogenesis disorder belonging to the Zellweger disease spectrum. PBD1A is an autosomal recessive systemic disorder characterized clinically by severe neurologic dysfunction with profound psychomotor retardation, severe hypotonia and neonatal seizures, craniofacial abnormalities, liver dysfunction, and biochemically by the absence of peroxisomes. Additional features include cardiovascular and skeletal defects, renal cysts, ocular abnormalities, and hearing impairment. Most severely affected individuals with the classic form of the disease (classic Zellweger syndrome) die within the first year of life. {ECO:0000269|PubMed:9398847, ECO:0000269|PubMed:9398848, ECO:0000269|PubMed:9539740}. Note=The disease is caused by mutations affecting the gene represented in this entry.; DISEASE: Peroxisome biogenesis disorder 1B (PBD1B) [MIM:601539]: A peroxisome biogenesis disorder that includes neonatal adrenoleukodystrophy (NALD) and infantile Refsum disease (IRD), two milder manifestations of the Zellweger disease spectrum. The clinical course of patients with the NALD and IRD presentation is variable and may include developmental delay, hypotonia, liver dysfunction, sensorineural hearing loss, retinal dystrophy and vision impairment. Children with the NALD presentation may reach their teens, while patients with the IRD presentation may reach adulthood. The clinical conditions are often slowly progressive in particular with respect to loss of hearing and vision. The biochemical abnormalities include accumulation of phytanic acid, very long chain fatty acids (VLCFA), di- and trihydroxycholestanoic acid and pipecolic acid. {ECO:0000269|PubMed:11439091, ECO:0000269|PubMed:9398847, ECO:0000269|PubMed:9539740}. Note=The disease is caused by mutations affecting the gene represented in this entry.; </t>
  </si>
  <si>
    <t xml:space="preserve">697.64</t>
  </si>
  <si>
    <t xml:space="preserve">60,29</t>
  </si>
  <si>
    <t xml:space="preserve">NM_001195541:exon6:c.494-2A&gt;G;NM_001195542:exon6:c.494-2A&gt;G;NM_001195543:exon6:c.494-2A&gt;G;uc022aib.1:exon6:c.494-2A&gt;G;uc022aic.1:exon6:c.494-2A&gt;G;uc022aid.1:exon6:c.494-2A&gt;G;ENST00000431679:exon6:c.894-2A&gt;G;ENST00000453227:exon6:c.672-2A&gt;G;ENST00000609449:exon4:c.503-2A&gt;G</t>
  </si>
  <si>
    <t xml:space="preserve">105.05</t>
  </si>
  <si>
    <t xml:space="preserve">0.999999999999998</t>
  </si>
  <si>
    <t xml:space="preserve">reelin</t>
  </si>
  <si>
    <t xml:space="preserve">FUNCTION: Extracellular matrix serine protease that plays a role in layering of neurons in the cerebral cortex and cerebellum. Regulates microtubule function in neurons and neuronal migration. Affects migration of sympathetic preganglionic neurons in the spinal cord, where it seems to act as a barrier to neuronal migration. Enzymatic activity is important for the modulation of cell adhesion. Binding to the extracellular domains of lipoprotein receptors VLDLR and LRP8/APOER2 induces tyrosine phosphorylation of DAB1 and modulation of TAU phosphorylation (By similarity). {ECO:0000250}.; </t>
  </si>
  <si>
    <t xml:space="preserve">DISEASE: Lissencephaly 2 (LIS2) [MIM:257320]: A classic type lissencephaly associated with ataxia, mental retardation, seizures and abnormalities of the cerebellum, hippocampus and brainstem. {ECO:0000269|PubMed:10973257}. Note=The disease is caused by mutations affecting the gene represented in this entry.; DISEASE: Epilepsy, familial temporal lobe, 7 (ETL7) [MIM:616436]: A focal form of epilepsy characterized by recurrent seizures that arise from foci within the temporal lobe. Seizures are usually accompanied by sensory symptoms, most often auditory in nature. {ECO:0000269|PubMed:26046367}. Note=The disease is caused by mutations affecting the gene represented in this entry.; </t>
  </si>
  <si>
    <t xml:space="preserve">61,8</t>
  </si>
  <si>
    <t xml:space="preserve">3.21022487204354e-30</t>
  </si>
  <si>
    <t xml:space="preserve">laminin subunit beta 4</t>
  </si>
  <si>
    <t xml:space="preserve">FUNCTION: Binding to cells via a high affinity receptor, laminin is thought to mediate the attachment, migration and organization of cells into tissues during embryonic development by interacting with other extracellular matrix components.; </t>
  </si>
  <si>
    <t xml:space="preserve">247.64</t>
  </si>
  <si>
    <t xml:space="preserve">20,10</t>
  </si>
  <si>
    <t xml:space="preserve">8.34882400764031e-17</t>
  </si>
  <si>
    <t xml:space="preserve">cadherin like and PC-esterase domain containing 1</t>
  </si>
  <si>
    <t xml:space="preserve">920.64</t>
  </si>
  <si>
    <t xml:space="preserve">0.0040386229885192</t>
  </si>
  <si>
    <t xml:space="preserve">glutamate receptor, metabotropic 8</t>
  </si>
  <si>
    <t xml:space="preserve">FUNCTION: G-protein coupled receptor for glutamate. Ligand binding causes a conformation change that triggers signaling via guanine nucleotide-binding proteins (G proteins) and modulates the activity of down-stream effectors, such as adenylate cyclase. Signaling inhibits adenylate cyclase activity. {ECO:0000269|PubMed:9473604}.; </t>
  </si>
  <si>
    <t xml:space="preserve">669.64</t>
  </si>
  <si>
    <t xml:space="preserve">160</t>
  </si>
  <si>
    <t xml:space="preserve">134,26</t>
  </si>
  <si>
    <t xml:space="preserve">exonic;intergenic;ncRNA_exonic</t>
  </si>
  <si>
    <t xml:space="preserve">dist=56538;dist=128736;ENSG00000211706:ENST00000390353:exon2:c.G340T:p.E114X</t>
  </si>
  <si>
    <t xml:space="preserve">35.64</t>
  </si>
  <si>
    <t xml:space="preserve">67,6</t>
  </si>
  <si>
    <t xml:space="preserve">8;9</t>
  </si>
  <si>
    <t xml:space="preserve">0.00122029540045484</t>
  </si>
  <si>
    <t xml:space="preserve">protease, serine 1</t>
  </si>
  <si>
    <t xml:space="preserve">FUNCTION: Has activity against the synthetic substrates Boc-Phe- Ser-Arg-Mec, Boc-Leu-Thr-Arg-Mec, Boc-Gln-Ala-Arg-Mec and Boc-Val- Pro-Arg-Mec. The single-chain form is more active than the two- chain form against all of these substrates. {ECO:0000269|PubMed:7945238}.; </t>
  </si>
  <si>
    <t xml:space="preserve">DISEASE: Pancreatitis, hereditary (PCTT) [MIM:167800]: A disease characterized by pancreas inflammation, permanent destruction of the pancreatic parenchyma, maldigestion, and severe abdominal pain attacks. {ECO:0000269|PubMed:10204851, ECO:0000269|PubMed:10381903, ECO:0000269|PubMed:10930381, ECO:0000269|PubMed:11073545, ECO:0000269|PubMed:11788572, ECO:0000269|PubMed:11866271, ECO:0000269|PubMed:14695529, ECO:0000269|PubMed:15776435, ECO:0000269|PubMed:8841182, ECO:0000269|PubMed:9322498, ECO:0000269|PubMed:9633818}. Note=Disease susceptibility is associated with variations affecting the gene represented in this entry.; </t>
  </si>
  <si>
    <t xml:space="preserve">84</t>
  </si>
  <si>
    <t xml:space="preserve">77,7</t>
  </si>
  <si>
    <t xml:space="preserve">178.64</t>
  </si>
  <si>
    <t xml:space="preserve">36,7</t>
  </si>
  <si>
    <t xml:space="preserve">34,7</t>
  </si>
  <si>
    <t xml:space="preserve">2195.60</t>
  </si>
  <si>
    <t xml:space="preserve">70,58</t>
  </si>
  <si>
    <t xml:space="preserve">320.64</t>
  </si>
  <si>
    <t xml:space="preserve">37,14</t>
  </si>
  <si>
    <t xml:space="preserve">819.64</t>
  </si>
  <si>
    <t xml:space="preserve">46,23</t>
  </si>
  <si>
    <t xml:space="preserve">984.64</t>
  </si>
  <si>
    <t xml:space="preserve">61,28</t>
  </si>
  <si>
    <t xml:space="preserve">1155.64</t>
  </si>
  <si>
    <t xml:space="preserve">161,39</t>
  </si>
  <si>
    <t xml:space="preserve">intergenic;ncRNA_exonic;ncRNA_intronic;splicing</t>
  </si>
  <si>
    <t xml:space="preserve">dist=9850;dist=7984;ENST00000539842:exon2:c.183+1A&gt;G;ENST00000539842:exon3:c.184-2A&gt;G</t>
  </si>
  <si>
    <t xml:space="preserve">1;9</t>
  </si>
  <si>
    <t xml:space="preserve">130.64</t>
  </si>
  <si>
    <t xml:space="preserve">478.64</t>
  </si>
  <si>
    <t xml:space="preserve">15,16</t>
  </si>
  <si>
    <t xml:space="preserve">0.000687935571767197</t>
  </si>
  <si>
    <t xml:space="preserve">limb development membrane protein 1</t>
  </si>
  <si>
    <t xml:space="preserve">FUNCTION: Putative membrane receptor.; </t>
  </si>
  <si>
    <t xml:space="preserve">DISEASE: Acheiropody (ACHP) [MIM:200500]: Very rare condition characterized by bilateral congenital amputations of the hands and feet. The specific malformative phenotype consists of a complete amputation of the distal epiphysis of the humerus, amputation of the tibial diaphysis and aplasia of the radius, ulna, fibula and of all the bones of the hands and feet. {ECO:0000269|PubMed:11090342}. Note=The disease is caused by mutations affecting the gene represented in this entry.; DISEASE: Syndactyly 4 (SDTY4) [MIM:186200]: A form of syndactyly, a congenital anomaly of the hand or foot marked by persistence of the webbing between adjacent digits that are more or less completely attached. SDTY4 is characterized by complete bilateral syndactyly (involving all digits 1 to 5). A frequent association with polydactyly (with six metacarpals and six digits) has been reported. Feet are affected occasionally. {ECO:0000269|PubMed:18417549, ECO:0000269|PubMed:24456159}. Note=The disease is caused by mutations affecting the gene represented in this entry. Disease-causing mutations consists of duplications (89-589 kb) involving the ZPA regulatory sequence (ZRS), a SHH long-range cis-regulatory element, located in LMBR1 intron 5. The mutations do not alter normal LMBR1 expression and function, but affect SHH limb expression. {ECO:0000269|PubMed:24456159}.; DISEASE: Hypoplasia or aplasia of tibia with polydactyly (THYP) [MIM:188740]: An autosomal dominant disease characterized by hypoplastic or absent tibia, and polydactyly. {ECO:0000269|PubMed:19847792, ECO:0000269|PubMed:24777739, ECO:0000269|PubMed:24965254}. Note=The disease is caused by mutations affecting the gene represented in this entry. Disease- causing mutations are located in intron 5 of LMBR1. The mutations do not alter normal LMBR1 expression and function, but disrupt a long-range, cis-regulatory element of SHH expression contained in LMBR1 intron 5. {ECO:0000269|PubMed:19847792, ECO:0000269|PubMed:24777739, ECO:0000269|PubMed:24965254}.; DISEASE: Laurin-Sandrow syndrome (LSS) [MIM:135750]: A rare autosomal dominant disorder characterized by polysyndactyly of hands and/or feet, mirror image duplication of the feet, nasal defects, and loss of identity between fibula and tibia. Some patients do not have nasal abnormalities (segmental Laurin-Sandrow syndrome). {ECO:0000269|PubMed:24456159}. Note=The disease is caused by mutations affecting the gene represented in this entry. Disease-causing mutations consists of duplications (16-75 kb) involving the ZPA regulatory sequence (ZRS), a SHH long-range cis- regulatory element, located in LMBR1 intron 5. The mutations do not alter normal LMBR1 expression and function, but affect SHH limb expression. {ECO:0000269|PubMed:24456159}.; </t>
  </si>
  <si>
    <t xml:space="preserve">946.64</t>
  </si>
  <si>
    <t xml:space="preserve">29,32</t>
  </si>
  <si>
    <t xml:space="preserve">0.999999311353521</t>
  </si>
  <si>
    <t xml:space="preserve">exportin 7</t>
  </si>
  <si>
    <t xml:space="preserve">FUNCTION: Mediates the nuclear export of proteins (cargos) with broad substrate specificity. In the nucleus binds cooperatively to its cargo and to the GTPase Ran in its active GTP-bound form. Docking of this trimeric complex to the nuclear pore complex (NPC) is mediated through binding to nucleoporins. Upon transit of a nuclear export complex into the cytoplasm, disassembling of the complex and hydrolysis of Ran-GTP to Ran-GDP (induced by RANBP1 and RANGAP1, respectively) cause release of the cargo from the export receptor. XPO7 then return to the nuclear compartment and mediate another round of transport. The directionality of nuclear export is thought to be conferred by an asymmetric distribution of the GTP- and GDP-bound forms of Ran between the cytoplasm and nucleus. {ECO:0000269|PubMed:11024021, ECO:0000269|PubMed:15282546}.; </t>
  </si>
  <si>
    <t xml:space="preserve">52.64</t>
  </si>
  <si>
    <t xml:space="preserve">0.0151208742819385</t>
  </si>
  <si>
    <t xml:space="preserve">transforming acidic coiled-coil containing protein 1</t>
  </si>
  <si>
    <t xml:space="preserve">FUNCTION: Likely involved in the processes that promote cell division prior to the formation of differentiated tissues.; </t>
  </si>
  <si>
    <t xml:space="preserve">48.60</t>
  </si>
  <si>
    <t xml:space="preserve">62</t>
  </si>
  <si>
    <t xml:space="preserve">53,9</t>
  </si>
  <si>
    <t xml:space="preserve">NM_015941:exon4:c.217-2-&gt;T;NM_213619:exon4:c.217-2-&gt;T;NM_213620:exon4:c.217-2-&gt;T;uc003xrk.4:exon3:c.97-2-&gt;T;uc003xrl.4:exon4:c.217-2-&gt;T;uc003xrm.4:exon4:c.217-2-&gt;T;uc003xrn.4:exon4:c.217-2-&gt;T;uc011ldv.3:exon4:UTR5;uc010lyd.4:exon4:c.25-2-&gt;T;ENST00000355221:exon4:c.217-2-&gt;T;ENST00000359530:exon4:c.217-2-&gt;T;ENST00000520188:exon3:c.97-2-&gt;T;ENST00000396774:exon4:c.217-2-&gt;T;ENST00000524164:exon4:c.140-2-&gt;T;ENST00000519588:exon4:c.93-2-&gt;T;ENST00000521275:exon4:c.217-2-&gt;T;ENST00000524234:exon4:c.217-2-&gt;T</t>
  </si>
  <si>
    <t xml:space="preserve">3.85908994314964e-05</t>
  </si>
  <si>
    <t xml:space="preserve">ATPase H+ transporting V1 subunit H</t>
  </si>
  <si>
    <t xml:space="preserve">FUNCTION: Subunit of the peripheral V1 complex of vacuolar ATPase. Subunit H activates the ATPase activity of the enzyme and couples ATPase activity to proton flow. Vacuolar ATPase is responsible for acidifying a variety of intracellular compartments in eukaryotic cells, thus providing most of the energy required for transport processes in the vacuolar system (By similarity). Involved in the endocytosis mediated by clathrin-coated pits, required for the formation of endosomes. {ECO:0000250}.; </t>
  </si>
  <si>
    <t xml:space="preserve">1153.64</t>
  </si>
  <si>
    <t xml:space="preserve">52,45</t>
  </si>
  <si>
    <t xml:space="preserve">exonic;intergenic;ncRNA_intronic</t>
  </si>
  <si>
    <t xml:space="preserve">dist=128146;dist=343048;RP1:uc011ldy.1:exon21:c.G3152T:p.R1051L</t>
  </si>
  <si>
    <t xml:space="preserve">1/1</t>
  </si>
  <si>
    <t xml:space="preserve">3.68445777366637e-10</t>
  </si>
  <si>
    <t xml:space="preserve">retinitis pigmentosa 1 (autosomal dominant)</t>
  </si>
  <si>
    <t xml:space="preserve">FUNCTION: Microtubule-associated protein regulating the stability and length of the microtubule-based axoneme of photoreceptors. Required for the differentiation of photoreceptor cells, it plays a role in the organization of the outer segment of rod and cone photoreceptors ensuring the correct orientation and higher-order stacking of outer segment disks along the photoreceptor axoneme (By similarity). {ECO:0000250}.; </t>
  </si>
  <si>
    <t xml:space="preserve">DISEASE: Retinitis pigmentosa 1 (RP1) [MIM:180100]: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{ECO:0000269|PubMed:10391211, ECO:0000269|PubMed:10484783, ECO:0000269|PubMed:11095597, ECO:0000269|PubMed:15863674, ECO:0000269|PubMed:15933747, ECO:0000269|PubMed:19956407, ECO:0000269|PubMed:20664799, ECO:0000269|PubMed:22052604, ECO:0000269|PubMed:22334370}. Note=The disease is caused by mutations affecting the gene represented in this entry.; </t>
  </si>
  <si>
    <t xml:space="preserve">274.64</t>
  </si>
  <si>
    <t xml:space="preserve">9,12</t>
  </si>
  <si>
    <t xml:space="preserve">1.6994617793848e-09</t>
  </si>
  <si>
    <t xml:space="preserve">carboxypeptidase A6</t>
  </si>
  <si>
    <t xml:space="preserve">FUNCTION: May be involved in the proteolytic inactivation of enkephalins and neurotensin in some brain areas. May convert inactive angiotensin I into the biologically active angiotensin II. {ECO:0000269|PubMed:18178555}.; </t>
  </si>
  <si>
    <t xml:space="preserve">DISEASE: Epilepsy, familial temporal lobe, 5 (ETL5) [MIM:614417]: A focal form of epilepsy characterized by recurrent seizures that arise from foci within the temporal lobe. Seizures are usually accompanied by sensory symptoms, most often auditory in nature. {ECO:0000269|PubMed:21922598}. Note=The disease is caused by mutations affecting the gene represented in this entry.; DISEASE: Febrile seizures, familial, 11 (FEB11) [MIM:614418]: Seizures associated with febrile episodes in childhood without any evidence of intracranial infection or defined pathologic or traumatic cause. It is a common condition, affecting 2-5% of children aged 3 months to 5 years. The majority are simple febrile seizures (generally defined as generalized onset, single seizures with a duration of less than 30 minutes). Complex febrile seizures are characterized by focal onset, duration greater than 30 minutes, and/or more than one seizure in a 24 hour period. The likelihood of developing epilepsy following simple febrile seizures is low. Complex febrile seizures are associated with a moderately increased incidence of epilepsy. {ECO:0000269|PubMed:21922598}. Note=The disease is caused by mutations affecting the gene represented in this entry.; </t>
  </si>
  <si>
    <t xml:space="preserve">1134.64</t>
  </si>
  <si>
    <t xml:space="preserve">49,42</t>
  </si>
  <si>
    <t xml:space="preserve">NM_001040613:c.*1271C&gt;T;NM_017866:c.*798C&gt;T;uc003yac.3:c.*1271C&gt;T;uc003yab.3:c.*798C&gt;T</t>
  </si>
  <si>
    <t xml:space="preserve">0.00324098348148041</t>
  </si>
  <si>
    <t xml:space="preserve">transmembrane protein 70</t>
  </si>
  <si>
    <t xml:space="preserve">FUNCTION: Involved in biogenesis of mitochondrial ATP synthase. {ECO:0000269|PubMed:18953340, ECO:0000269|PubMed:20937241}.; </t>
  </si>
  <si>
    <t xml:space="preserve">DISEASE: Mitochondrial complex V deficiency, nuclear 2 (MC5DN2) [MIM:614052]: A mitochondrial disorder with heterogeneous clinical manifestations including dysmorphic features, psychomotor retardation, hypotonia, growth retardation, cardiomyopathy, enlarged liver, hypoplastic kidneys and elevated lactate levels in urine, plasma and cerebrospinal fluid. {ECO:0000269|PubMed:18953340, ECO:0000269|PubMed:22986587}. Note=The disease is caused by mutations affecting the gene represented in this entry.; </t>
  </si>
  <si>
    <t xml:space="preserve">1202.64</t>
  </si>
  <si>
    <t xml:space="preserve">41,46</t>
  </si>
  <si>
    <t xml:space="preserve">0.0538232412513876</t>
  </si>
  <si>
    <t xml:space="preserve">N-myc downstream regulated 1</t>
  </si>
  <si>
    <t xml:space="preserve">FUNCTION: Stress-responsive protein involved in hormone responses, cell growth, and differentiation. Acts as a tumor suppressor in many cell types. Necessary but not sufficient for p53/TP53- mediated caspase activation and apoptosis. Has a role in cell trafficking, notably of the Schwann cell, and is necessary for the maintenance and development of the peripheral nerve myelin sheath. Required for vesicular recycling of CDH1 and TF. May also function in lipid trafficking. Protects cells from spindle disruption damage. Functions in p53/TP53-dependent mitotic spindle checkpoint. Regulates microtubule dynamics and maintains euploidy. {ECO:0000269|PubMed:15247272, ECO:0000269|PubMed:15377670, ECO:0000269|PubMed:17786215, ECO:0000269|PubMed:9766676}.; </t>
  </si>
  <si>
    <t xml:space="preserve">DISEASE: Charcot-Marie-Tooth disease 4D (CMT4D) [MIM:601455]: A recessive demyelinating form of Charcot-Marie-Tooth disease, a disorder of the peripheral nervous system, characterized by progressive weakness and atrophy, initially of the peroneal muscles and later of the distal muscles of the arms. Charcot- Marie-Tooth disease is classified in two main groups on the basis of electrophysiologic properties and histopathology: primary peripheral demyelinating neuropathies (designated CMT1 when they are dominantly inherited) and primary peripheral axonal neuropathies (CMT2). Demyelinating neuropathies are characterized by severely reduced nerve conduction velocities (less than 38 m/sec), segmental demyelination and remyelination with onion bulb formations on nerve biopsy, slowly progressive distal muscle atrophy and weakness, absent deep tendon reflexes, and hollow feet. By convention autosomal recessive forms of demyelinating Charcot-Marie-Tooth disease are designated CMT4. {ECO:0000269|PubMed:10831399}. Note=The disease is caused by mutations affecting the gene represented in this entry.; </t>
  </si>
  <si>
    <t xml:space="preserve">292.64</t>
  </si>
  <si>
    <t xml:space="preserve">7,9</t>
  </si>
  <si>
    <t xml:space="preserve">0.00573736084471825</t>
  </si>
  <si>
    <t xml:space="preserve">solute carrier family 39 member 4</t>
  </si>
  <si>
    <t xml:space="preserve">FUNCTION: Plays an important role in cellular zinc homeostasis as a zinc transporter. Regulated in response to zinc availability (By similarity). {ECO:0000250}.; </t>
  </si>
  <si>
    <t xml:space="preserve">chr9</t>
  </si>
  <si>
    <t xml:space="preserve">286.64</t>
  </si>
  <si>
    <t xml:space="preserve">16,10</t>
  </si>
  <si>
    <t xml:space="preserve">0.642141452095713</t>
  </si>
  <si>
    <t xml:space="preserve">COBW domain containing 1</t>
  </si>
  <si>
    <t xml:space="preserve">2240.64</t>
  </si>
  <si>
    <t xml:space="preserve">62,79</t>
  </si>
  <si>
    <t xml:space="preserve">0.969034926832703</t>
  </si>
  <si>
    <t xml:space="preserve">Janus kinase 2</t>
  </si>
  <si>
    <t xml:space="preserve">FUNCTION: Non-receptor tyrosine kinase involved in various processes such as cell growth, development, differentiation or histone modifications. Mediates essential signaling events in both innate and adaptive immunity. In the cytoplasm, plays a pivotal role in signal transduction via its association with type I receptors such as growth hormone (GHR), prolactin (PRLR), leptin (LEPR), erythropoietin (EPOR), thrombopoietin (THPO); or type II receptors including IFN-alpha, IFN-beta, IFN-gamma and multiple interleukins. Following ligand-binding to cell surface receptors, phosphorylates specific tyrosine residues on the cytoplasmic tails of the receptor, creating docking sites for STATs proteins. Subsequently, phosphorylates the STATs proteins once they are recruited to the receptor. Phosphorylated STATs then form homodimer or heterodimers and translocate to the nucleus to activate gene transcription. For example, cell stimulation with erythropoietin (EPO) during erythropoiesis leads to JAK2 autophosphorylation, activation, and its association with erythropoietin receptor (EPOR) that becomes phosphorylated in its cytoplasmic domain. Then, STAT5 (STAT5A or STAT5B) is recruited, phosphorylated and activated by JAK2. Once activated, dimerized STAT5 translocates into the nucleus and promotes the transcription of several essential genes involved in the modulation of erythropoiesis. In addition, JAK2 mediates angiotensin-2-induced ARHGEF1 phosphorylation. Plays a role in cell cycle by phosphorylating CDKN1B. Cooperates with TEC through reciprocal phosphorylation to mediate cytokine-driven activation of FOS transcription. In the nucleus, plays a key role in chromatin by specifically mediating phosphorylation of 'Tyr-41' of histone H3 (H3Y41ph), a specific tag that promotes exclusion of CBX5 (HP1 alpha) from chromatin. {ECO:0000269|PubMed:12023369, ECO:0000269|PubMed:19783980, ECO:0000269|PubMed:20098430, ECO:0000269|PubMed:21423214}.; </t>
  </si>
  <si>
    <t xml:space="preserve">DISEASE: Note=Chromosomal aberrations involving JAK2 are found in both chronic and acute forms of eosinophilic, lymphoblastic and myeloid leukemia. Translocation t(8;9)(p22;p24) with PCM1 links the protein kinase domain of JAK2 to the major portion of PCM1. Translocation t(9;12)(p24;p13) with ETV6.; DISEASE: Budd-Chiari syndrome (BDCHS) [MIM:600880]: A syndrome caused by obstruction of hepatic venous outflow involving either the hepatic veins or the terminal segment of the inferior vena cava. Obstructions are generally caused by thrombosis and lead to hepatic congestion and ischemic necrosis. Clinical manifestations observed in the majority of patients include hepatomegaly, right upper quadrant pain and abdominal ascites. Budd-Chiari syndrome is associated with a combination of disease states including primary myeloproliferative syndromes and thrombophilia due to factor V Leiden, protein C deficiency and antithrombin III deficiency. Budd-Chiari syndrome is a rare but typical complication in patients with polycythemia vera. {ECO:0000269|PubMed:16707754}. Note=Disease susceptibility is associated with variations affecting the gene represented in this entry.; DISEASE: Polycythemia vera (PV) [MIM:263300]: A myeloproliferative disorder characterized by abnormal proliferation of all hematopoietic bone marrow elements, erythroid hyperplasia, an absolute increase in total blood volume, but also by myeloid leukocytosis, thrombocytosis and splenomegaly. {ECO:0000269|PubMed:15781101, ECO:0000269|PubMed:15793561, ECO:0000269|PubMed:15858187, ECO:0000269|PubMed:16603627}. Note=The disease is caused by mutations affecting the gene represented in this entry.; DISEASE: Thrombocythemia 3 (THCYT3) [MIM:614521]: A myeloproliferative disorder characterized by excessive platelet production, resulting in increased numbers of circulating platelets. It can be associated with spontaneous hemorrhages and thrombotic episodes. {ECO:0000269|PubMed:16325696, ECO:0000269|PubMed:22397670}. Note=The disease may be caused by mutations affecting the gene represented in this entry.; DISEASE: Myelofibrosis (MYELOF) [MIM:254450]: A disorder characterized by replacement of the bone marrow by fibrous tissue, occurring in association with a myeloproliferative disorder. Clinical manifestations may include anemia, pallor, splenomegaly, hypermetabolic state, petechiae, ecchymosis, bleeding, lymphadenopathy, hepatomegaly, portal hypertension. Note=The disease is caused by mutations affecting the gene represented in this entry.; DISEASE: Leukemia, acute myelogenous (AML) [MIM:601626]: A subtype of acute leukemia, a cancer of the white blood cells. AML is a malignant disease of bone marrow characterized by maturational arrest of hematopoietic precursors at an early stage of development. Clonal expansion of myeloid blasts occurs in bone marrow, blood, and other tissue. Myelogenous leukemias develop from changes in cells that normally produce neutrophils, basophils, eosinophils and monocytes. {ECO:0000269|PubMed:16247455}. Note=The disease is caused by mutations affecting the gene represented in this entry.; </t>
  </si>
  <si>
    <t xml:space="preserve">19,4</t>
  </si>
  <si>
    <t xml:space="preserve">4.8794486364637e-14</t>
  </si>
  <si>
    <t xml:space="preserve">glycine dehydrogenase (decarboxylating)</t>
  </si>
  <si>
    <t xml:space="preserve">FUNCTION: The glycine cleavage system catalyzes the degradation of glycine. The P protein (GLDC) binds the alpha-amino group of glycine through its pyridoxal phosphate cofactor; CO(2) is released and the remaining methylamine moiety is then transferred to the lipoamide cofactor of the H protein (GCSH).; </t>
  </si>
  <si>
    <t xml:space="preserve">DISEASE: Non-ketotic hyperglycinemia (NKH) [MIM:605899]: Autosomal recessive disease characterized by accumulation of a large amount of glycine in body fluid and by severe neurological symptoms. {ECO:0000269|PubMed:11286506, ECO:0000269|PubMed:11592811, ECO:0000269|PubMed:1634607, ECO:0000269|PubMed:1996985}. Note=The disease is caused by mutations affecting the gene represented in this entry.; </t>
  </si>
  <si>
    <t xml:space="preserve">0.998978044438405</t>
  </si>
  <si>
    <t xml:space="preserve">smu-1 suppressor of mec-8 and unc-52 homolog (C. elegans)</t>
  </si>
  <si>
    <t xml:space="preserve">1769.64</t>
  </si>
  <si>
    <t xml:space="preserve">27,47</t>
  </si>
  <si>
    <t xml:space="preserve">5.35201684379183e-22</t>
  </si>
  <si>
    <t xml:space="preserve">coiled-coil domain containing 180</t>
  </si>
  <si>
    <t xml:space="preserve">974.64</t>
  </si>
  <si>
    <t xml:space="preserve">42,40</t>
  </si>
  <si>
    <t xml:space="preserve">0.999445289317284</t>
  </si>
  <si>
    <t xml:space="preserve">suppressor of cancer cell invasion</t>
  </si>
  <si>
    <t xml:space="preserve">FUNCTION: Tumor suppressor which functions to suppress MKL1- induced SRF transcriptional activity. May function in the RHOA- DIAPH1 signal transduction pathway and regulate cell migration through transcriptional regulation of ITGB1. {ECO:0000269|PubMed:19350017}.; </t>
  </si>
  <si>
    <t xml:space="preserve">134.64</t>
  </si>
  <si>
    <t xml:space="preserve">15,8</t>
  </si>
  <si>
    <t xml:space="preserve">0.999736598475665</t>
  </si>
  <si>
    <t xml:space="preserve">mitogen-activated protein kinase associated protein 1</t>
  </si>
  <si>
    <t xml:space="preserve">FUNCTION: Subunit of mTORC2, which regulates cell growth and survival in response to hormonal signals. mTORC2 is activated by growth factors, but, in contrast to mTORC1, seems to be nutrient- insensitive. mTORC2 seems to function upstream of Rho GTPases to regulate the actin cytoskeleton, probably by activating one or more Rho-type guanine nucleotide exchange factors. mTORC2 promotes the serum-induced formation of stress-fibers or F-actin. mTORC2 plays a critical role in AKT1 'Ser-473' phosphorylation, which may facilitate the phosphorylation of the activation loop of AKT1 on 'Thr-308' by PDK1 which is a prerequisite for full activation. mTORC2 regulates the phosphorylation of SGK1 at 'Ser-422'. mTORC2 also modulates the phosphorylation of PRKCA on 'Ser-657'. Within mTORC2, MAPKAP1 is required for complex formation and mTORC2 kinase activity. MAPKAP1 inhibits MAP3K2 by preventing its dimerization and autophosphorylation. Inhibits HRAS and KRAS signaling. Enhances osmotic stress-induced phosphorylation of ATF2 and ATF2-mediated transcription. Involved in ciliogenesis, regulates cilia length through its interaction with CCDC28B independently of mTORC2 complex. {ECO:0000269|PubMed:15988011, ECO:0000269|PubMed:16962653, ECO:0000269|PubMed:17043309, ECO:0000269|PubMed:17054722, ECO:0000269|PubMed:17303383, ECO:0000269|PubMed:23727834}.; </t>
  </si>
  <si>
    <t xml:space="preserve">71.60</t>
  </si>
  <si>
    <t xml:space="preserve">11,8</t>
  </si>
  <si>
    <t xml:space="preserve">0.993841692882668</t>
  </si>
  <si>
    <t xml:space="preserve">nucleoporin 214kDa</t>
  </si>
  <si>
    <t xml:space="preserve">FUNCTION: May serve as a docking site in the receptor-mediated import of substrates across the nuclear pore complex.; </t>
  </si>
  <si>
    <t xml:space="preserve">DISEASE: Note=A chromosomal aberration involving NUP214 is found in a subset of acute myeloid leukemia (AML); also known as acute non-lymphocytic leukemia. Translocation t(6;9)(p23;q34) with DEK. It results in the formation of a DEK-CAN fusion gene. {ECO:0000269|PubMed:1549122}.; DISEASE: Note=A chromosomal aberration involving NUP214 is found in some cases of acute undifferentiated leukemia (AUL). Translocation t(6;9)(q21;q34.1) with SET. {ECO:0000269|PubMed:1630450}.; </t>
  </si>
  <si>
    <t xml:space="preserve">349.64</t>
  </si>
  <si>
    <t xml:space="preserve">30,16</t>
  </si>
  <si>
    <t xml:space="preserve">0.753664482005709</t>
  </si>
  <si>
    <t xml:space="preserve">calmodulin regulated spectrin associated protein 1</t>
  </si>
  <si>
    <t xml:space="preserve">FUNCTION: Probable microtubule-binding protein that plays a role in the regulation of cell morphology and cytoskeletal organization. Through interaction with spectrin may regulate neurite outgrowth. {ECO:0000269|PubMed:19508979, ECO:0000269|PubMed:21834987, ECO:0000269|PubMed:24117850}.; </t>
  </si>
  <si>
    <t xml:space="preserve">26,43</t>
  </si>
  <si>
    <t xml:space="preserve">0.999999515728741</t>
  </si>
  <si>
    <t xml:space="preserve">ATP binding cassette subfamily A member 2</t>
  </si>
  <si>
    <t xml:space="preserve">FUNCTION: Probable transporter, its natural substrate has not been found yet. May have a role in macrophage lipid metabolism and neural development.; </t>
  </si>
  <si>
    <t xml:space="preserve">613.64</t>
  </si>
  <si>
    <t xml:space="preserve">8,18</t>
  </si>
  <si>
    <t xml:space="preserve">1.70507761922303e-05</t>
  </si>
  <si>
    <t xml:space="preserve">glycogenin 2</t>
  </si>
  <si>
    <t xml:space="preserve">FUNCTION: Self-glucosylates, via an inter-subunit mechanism, to form an oligosaccharide primer that serves as substrate for glycogen synthase.; </t>
  </si>
  <si>
    <t xml:space="preserve">24,20</t>
  </si>
  <si>
    <t xml:space="preserve">0.991844364940163</t>
  </si>
  <si>
    <t xml:space="preserve">Rho GTPase activating protein 6</t>
  </si>
  <si>
    <t xml:space="preserve">FUNCTION: GTPase activator for the Rho-type GTPases by converting them to an inactive GDP-bound state. Could regulate the interactions of signaling molecules with the actin cytoskeleton. Promotes continuous elongation of cytoplasmic processes during cell motility and simultaneous retraction of the cell body changing the cell morphology. {ECO:0000269|PubMed:10699171}.; </t>
  </si>
  <si>
    <t xml:space="preserve">39.60</t>
  </si>
  <si>
    <t xml:space="preserve">43,5</t>
  </si>
  <si>
    <t xml:space="preserve">PRICKLE3:uc011mmw.1:exon3:c.178_179del:p.T60Sfs*20,PRICKLE3:uc011mmy.1:exon3:c.382_383del:p.T128Sfs*20;ENSG00000012211:ENST00000417014:exon3:c.382_383del:p.T128Sfs*11,ENSG00000012211:ENST00000536904:exon3:c.178_179del:p.T60Sfs*20,ENSG00000012211:ENST00000538114:exon3:c.382_383del:p.T128Sfs*20</t>
  </si>
  <si>
    <t xml:space="preserve">0.15265646111407</t>
  </si>
  <si>
    <t xml:space="preserve">prickle planar cell polarity protein 3</t>
  </si>
  <si>
    <t xml:space="preserve">5594.60</t>
  </si>
  <si>
    <t xml:space="preserve">570</t>
  </si>
  <si>
    <t xml:space="preserve">403,167</t>
  </si>
  <si>
    <t xml:space="preserve">FAM104B:NM_001166699:exon3:c.182_183insA:p.S61Rfs*13,FAM104B:NM_001166700:exon3:c.182_183insA:p.S61Rfs*13,FAM104B:NM_001166701:exon3:c.179_180insA:p.S60Rfs*13,FAM104B:NM_001166702:exon3:c.170_171insA:p.S57Rfs*13,FAM104B:NM_001166703:exon3:c.176_177insA:p.S59Rfs*13,FAM104B:NM_138362:exon3:c.179_180insA:p.S60Rfs*13;FAM104B:uc004dug.2:exon3:c.182_183insA:p.S61Rfs*13,FAM104B:uc004duh.2:exon3:c.179_180insA:p.S60Rfs*13,FAM104B:uc004dui.4:exon3:c.182_183insA:p.S61Rfs*13,FAM104B:uc022bxm.1:exon3:c.176_177insA:p.S59Rfs*13,FAM104B:uc022bxn.1:exon3:c.170_171insA:p.S57Rfs*13,FAM104B:uc022bxo.1:exon3:c.179_180insA:p.S60Rfs*13;ENSG00000182518:ENST00000332132:exon3:c.182_183insA:p.S61Rfs*13,ENSG00000182518:ENST00000358460:exon3:c.179_180insA:p.S60Rfs*13,ENSG00000182518:ENST00000425133:exon3:c.182_183insA:p.S61Rfs*13,ENSG00000182518:ENST00000477847:exon3:c.170_171insA:p.S57Rfs*13,ENSG00000182518:ENST00000489298:exon3:c.176_177insA:p.S59Rfs*13</t>
  </si>
  <si>
    <t xml:space="preserve">0.00870993932895896</t>
  </si>
  <si>
    <t xml:space="preserve">family with sequence similarity 104 member B</t>
  </si>
  <si>
    <t xml:space="preserve">5267.60</t>
  </si>
  <si>
    <t xml:space="preserve">558</t>
  </si>
  <si>
    <t xml:space="preserve">402,156</t>
  </si>
  <si>
    <t xml:space="preserve">FAM104B:NM_001166699:exon3:c.179delC:p.A60Efs*8,FAM104B:NM_001166700:exon3:c.179delC:p.A60Efs*8,FAM104B:NM_001166701:exon3:c.176delC:p.A59Efs*8,FAM104B:NM_001166702:exon3:c.167delC:p.A56Efs*8,FAM104B:NM_001166703:exon3:c.173delC:p.A58Efs*8,FAM104B:NM_138362:exon3:c.176delC:p.A59Efs*8;FAM104B:uc004dug.2:exon3:c.179delC:p.A60Efs*8,FAM104B:uc004duh.2:exon3:c.176delC:p.A59Efs*8,FAM104B:uc004dui.4:exon3:c.179delC:p.A60Efs*8,FAM104B:uc022bxm.1:exon3:c.173delC:p.A58Efs*8,FAM104B:uc022bxn.1:exon3:c.167delC:p.A56Efs*8,FAM104B:uc022bxo.1:exon3:c.176delC:p.A59Efs*8;ENSG00000182518:ENST00000332132:exon3:c.179delC:p.A60Efs*8,ENSG00000182518:ENST00000358460:exon3:c.176delC:p.A59Efs*8,ENSG00000182518:ENST00000425133:exon3:c.179delC:p.A60Efs*8,ENSG00000182518:ENST00000477847:exon3:c.167delC:p.A56Efs*8,ENSG00000182518:ENST00000489298:exon3:c.173delC:p.A58Efs*8</t>
  </si>
  <si>
    <t xml:space="preserve">927.64</t>
  </si>
  <si>
    <t xml:space="preserve">46,35</t>
  </si>
  <si>
    <t xml:space="preserve">0.896227168388092</t>
  </si>
  <si>
    <t xml:space="preserve">neuroligin 3</t>
  </si>
  <si>
    <t xml:space="preserve">FUNCTION: Cell surface protein involved in cell-cell-interactions via its interactions with neurexin family members. Plays a role in synapse function and synaptic signal transmission, and may mediate its effects by clustering other synaptic proteins. May promote the initial formation of synapses, but is not essential for this. May also play a role in glia-glia or glia-neuron interactions in the developing peripheral nervous system (By similarity). {ECO:0000250, ECO:0000269|PubMed:15620359}.; </t>
  </si>
  <si>
    <t xml:space="preserve">DISEASE: Asperger syndrome, X-linked, 1 (ASPGX1) [MIM:300494]: A syndrome with features similar to autism. Affected individuals exhibit qualitative impairment in social interaction, as manifest by impairment in the use of non-verbal behaviors such as eye-to- eye gaze, facial expression, body postures, and gestures, failure to develop appropriate peer relationships, and lack of social sharing or reciprocity. Patients also exhibit restricted, repetitive and stereotyped patterns of behavior, interests, and activities, including abnormal preoccupation with certain activities and inflexible adherence to routines or rituals. Asperger syndrome is primarily distinguished from autism by the higher cognitive abilities and a more normal and timely development of language and communicative phrases. {ECO:0000269|PubMed:12669065}. Note=Disease susceptibility is associated with variations affecting the gene represented in this entry.; </t>
  </si>
  <si>
    <t xml:space="preserve">3;2</t>
  </si>
  <si>
    <t xml:space="preserve">0.999999755773455</t>
  </si>
  <si>
    <t xml:space="preserve">TATA-box binding protein associated factor 1;brain cytoplasmic RNA 1</t>
  </si>
  <si>
    <t xml:space="preserve">FUNCTION: Largest component and core scaffold of the TFIID basal transcription factor complex. Contains novel N- and C-terminal Ser/Thr kinase domains which can autophosphorylate or transphosphorylate other transcription factors. Phosphorylates TP53 on 'Thr-55' which leads to MDM2-mediated degradation of TP53. Phosphorylates GTF2A1 and GTF2F1 on Ser residues. Possesses DNA- binding activity. Essential for progression of the G1 phase of the cell cycle (PubMed:11278496, PubMed:15053879, PubMed:2038334, PubMed:8450888, PubMed:8625415, PubMed:9660973, PubMed:9858607). Exhibits histone acetyltransferase activity towards histones H3 and H4 (PubMed:15870300). {ECO:0000269|PubMed:11278496, ECO:0000269|PubMed:15053879, ECO:0000269|PubMed:15870300, ECO:0000269|PubMed:2038334, ECO:0000269|PubMed:8450888, ECO:0000269|PubMed:8625415, ECO:0000269|PubMed:9660973, ECO:0000269|PubMed:9858607}.; </t>
  </si>
  <si>
    <t xml:space="preserve">DISEASE: Dystonia 3, torsion, X-linked (DYT3) [MIM:314250]: A X- linked dystonia-parkinsonism disorder. Dystonia is defined by the presence of sustained involuntary muscle contractions, often leading to abnormal postures. DYT3 is characterized by severe progressive torsion dystonia followed by parkinsonism. It has a well-defined pathology of extensive neuronal loss and mosaic gliosis in the striatum (caudate nucleus and putamen) which appears to resemble that in Huntington disease. {ECO:0000269|PubMed:12928496, ECO:0000269|PubMed:17273961}. Note=The disease is caused by mutations affecting the gene represented in this entry.; </t>
  </si>
  <si>
    <t xml:space="preserve">45.26</t>
  </si>
  <si>
    <t xml:space="preserve">0,4</t>
  </si>
  <si>
    <t xml:space="preserve">2086.64</t>
  </si>
  <si>
    <t xml:space="preserve">3;1</t>
  </si>
  <si>
    <t xml:space="preserve">0.999947206587498</t>
  </si>
  <si>
    <t xml:space="preserve">O-linked N-acetylglucosamine (GlcNAc) transferase;brain cytoplasmic RNA 1</t>
  </si>
  <si>
    <t xml:space="preserve">FUNCTION: Catalyzes the transfer of a single N-acetylglucosamine from UDP-GlcNAc to a serine or threonine residue in cytoplasmic and nuclear proteins resulting in their modification with a beta- linked N-acetylglucosamine (O-GlcNAc). Glycosylates a large and diverse number of proteins including histone H2B, AKT1, EZH2, PFKL, KMT2E/MLL5, MAPT/TAU and HCFC1. Can regulate their cellular processes via cross-talk between glycosylation and phosphorylation or by affecting proteolytic processing. Involved in insulin resistance in muscle and adipocyte cells via glycosylating insulin signaling components and inhibiting the 'Thr-308' phosphorylation of AKT1, enhancing IRS1 phosphorylation and attenuating insulin signaling. Involved in glycolysis regulation by mediating glycosylation of 6-phosphofructokinase PFKL, inhibiting its activity (PubMed:22923583). Component of a THAP1/THAP3-HCFC1-OGT complex that is required for the regulation of the transcriptional activity of RRM1. Plays a key role in chromatin structure by mediating O-GlcNAcylation of 'Ser-112' of histone H2B: recruited to CpG-rich transcription start sites of active genes via its interaction with TET proteins (TET1, TET2 or TET3) (PubMed:22121020, PubMed:23353889). As part of the NSL complex indirectly involved in acetylation of nucleosomal histone H4 on several lysine residues (PubMed:20018852). O-GlcNAcylation of 'Ser-75' of EZH2 increases its stability, and facilitating the formation of H3K27me3 by the PRC2/EED-EZH2 complex (PubMed:24474760). Regulates circadian oscillation of the clock genes and glucose homeostasis in the liver. Stabilizes clock proteins ARNTL/BMAL1 and CLOCK through O-glycosylation, which prevents their ubiquitination and subsequent degradation. Promotes the CLOCK-ARNTL/BMAL1-mediated transcription of genes in the negative loop of the circadian clock such as PER1/2 and CRY1/2 (PubMed:12150998, PubMed:18288188, PubMed:19377461, PubMed:19451179, PubMed:20018868, PubMed:20200153, PubMed:21285374, PubMed:15361863). {ECO:0000269|PubMed:12150998, ECO:0000269|PubMed:15361863, ECO:0000269|PubMed:18288188, ECO:0000269|PubMed:19377461, ECO:0000269|PubMed:19451179, ECO:0000269|PubMed:20018852, ECO:0000269|PubMed:20018868, ECO:0000269|PubMed:20200153, ECO:0000269|PubMed:21285374, ECO:0000269|PubMed:22121020, ECO:0000269|PubMed:22923583, ECO:0000269|PubMed:23353889, ECO:0000269|PubMed:24474760}.; </t>
  </si>
  <si>
    <t xml:space="preserve">DISEASE: Note=Regulation of OGT activity and altered O- GlcNAcylations are implicated in diabetes and Alzheimer disease. O-GlcNAcylation of AKT1 affects insulin signaling and, possibly diabetes. Reduced O-GlcNAcylations and resulting increased phosphorylations of MAPT/TAU are observed in Alzheimer disease (AD) brain cerebrum.; </t>
  </si>
  <si>
    <t xml:space="preserve">1570.64</t>
  </si>
  <si>
    <t xml:space="preserve">125</t>
  </si>
  <si>
    <t xml:space="preserve">69,56</t>
  </si>
  <si>
    <t xml:space="preserve">0.995047822845297</t>
  </si>
  <si>
    <t xml:space="preserve">ATP binding cassette subfamily B member 7</t>
  </si>
  <si>
    <t xml:space="preserve">FUNCTION: Could be involved in the transport of heme from the mitochondria to the cytosol. Plays a central role in the maturation of cytosolic iron-sulfur (Fe/S) cluster-containing proteins.; </t>
  </si>
  <si>
    <t xml:space="preserve">DISEASE: Anemia, sideroblastic, spinocerebellar ataxia (ASAT) [MIM:301310]: A X-linked recessive disorder characterized by an infantile to early childhood onset of non-progressive cerebellar ataxia and mild anemia, with hypochromia and microcytosis. {ECO:0000269|PubMed:10196363, ECO:0000269|PubMed:11050011, ECO:0000269|PubMed:11843825, ECO:0000269|PubMed:22398176}. Note=The disease is caused by mutations affecting the gene represented in this entry.; </t>
  </si>
  <si>
    <t xml:space="preserve">83.64</t>
  </si>
  <si>
    <t xml:space="preserve">0.989879513869536</t>
  </si>
  <si>
    <t xml:space="preserve">Rho GTPase activating protein 36</t>
  </si>
  <si>
    <t xml:space="preserve">FUNCTION: GTPase activator for the Rho-type GTPases by converting them to an inactive GDP-bound state. {ECO:0000250}.; </t>
  </si>
  <si>
    <t xml:space="preserve">1502.64</t>
  </si>
  <si>
    <t xml:space="preserve">64,55</t>
  </si>
  <si>
    <t xml:space="preserve">0.174595943528543</t>
  </si>
  <si>
    <t xml:space="preserve">family with sequence similarity 122C</t>
  </si>
  <si>
    <t xml:space="preserve">181.64</t>
  </si>
  <si>
    <t xml:space="preserve">7,5</t>
  </si>
  <si>
    <t xml:space="preserve">dist=65004;dist=254525</t>
  </si>
  <si>
    <t xml:space="preserve">0.000589679869220244</t>
  </si>
  <si>
    <t xml:space="preserve">SPANX family member C</t>
  </si>
  <si>
    <t xml:space="preserve">175.64</t>
  </si>
  <si>
    <t xml:space="preserve">42,8</t>
  </si>
  <si>
    <t xml:space="preserve">NM_000033:c.*1001C&gt;T;uc004fif.2:c.*1001C&gt;T</t>
  </si>
  <si>
    <t xml:space="preserve">0.982118837885542</t>
  </si>
  <si>
    <t xml:space="preserve">ATP binding cassette subfamily D member 1</t>
  </si>
  <si>
    <t xml:space="preserve">FUNCTION: Probable transporter. The nucleotide-binding fold acts as an ATP-binding subunit with ATPase activity. {ECO:0000269|PubMed:11248239}.; </t>
  </si>
  <si>
    <t xml:space="preserve">DISEASE: Adrenoleukodystrophy (ALD) [MIM:300100]: A peroxisomal metabolic disorder characterized by progressive multifocal demyelination of the central nervous system and by peripheral adrenal insufficiency (Addison disease). It results in mental deterioration, corticospinal tract dysfunction, and cortical blindness. Different clinical manifestations exist like: cerebral childhood ALD (CALD), adult cerebral ALD (ACALD), adrenomyeloneuropathy (AMN) and 'Addison disease only' (ADO) phenotype. {ECO:0000269|PubMed:10369742, ECO:0000269|PubMed:10480364, ECO:0000269|PubMed:10737980, ECO:0000269|PubMed:10980539, ECO:0000269|PubMed:11438993, ECO:0000269|PubMed:11810273, ECO:0000269|PubMed:15643618, ECO:0000269|PubMed:21700483, ECO:0000269|PubMed:21889498, ECO:0000269|PubMed:7581394, ECO:0000269|PubMed:7717396, ECO:0000269|PubMed:7825602, ECO:0000269|PubMed:7849723, ECO:0000269|PubMed:7904210, ECO:0000269|PubMed:8040304, ECO:0000269|PubMed:8566952, ECO:0000269|PubMed:8651290, ECO:0000269|PubMed:9452087}. Note=The disease is caused by mutations affecting the gene represented in this entry.; DISEASE: Note=The promoter region of ABCD1 is deleted in the chromosome Xq28 deletion syndrome which involves ABCD1 and the neighboring gene BCAP31. {ECO:0000269|PubMed:11992258}.; </t>
  </si>
  <si>
    <t xml:space="preserve">chrY</t>
  </si>
  <si>
    <t xml:space="preserve">113.64</t>
  </si>
  <si>
    <t xml:space="preserve">dist=NONE;dist=1017311;dist=165986;dist=129033</t>
  </si>
  <si>
    <t xml:space="preserve">dist=NONE;dist=1017257;dist=166040;dist=128979;ENSG00000183704:ENST00000331172:exon5:c.A664T:p.K222X</t>
  </si>
  <si>
    <t xml:space="preserve">#Gene_name</t>
  </si>
  <si>
    <t xml:space="preserve">Tissue_specificity(Uniprot)</t>
  </si>
  <si>
    <t xml:space="preserve">Expression(egenetics)</t>
  </si>
  <si>
    <t xml:space="preserve">Expression(GNF/Atlas)</t>
  </si>
  <si>
    <t xml:space="preserve">OMIM-00</t>
  </si>
  <si>
    <t xml:space="preserve">OMIM-01</t>
  </si>
  <si>
    <t xml:space="preserve">OMIM-02</t>
  </si>
  <si>
    <t xml:space="preserve">OMIM-03</t>
  </si>
  <si>
    <t xml:space="preserve">OMIM-04</t>
  </si>
  <si>
    <t xml:space="preserve">OMIM-05</t>
  </si>
  <si>
    <t xml:space="preserve">OMIM-06</t>
  </si>
  <si>
    <t xml:space="preserve">OMIM-07</t>
  </si>
  <si>
    <t xml:space="preserve">ABCA2</t>
  </si>
  <si>
    <t xml:space="preserve">TISSUE SPECIFICITY: Highly expressed in the brain, whereas lower levels of expression is observed in kidney and liver. {ECO:0000269|PubMed:11309290}.; </t>
  </si>
  <si>
    <t xml:space="preserve">myocardium;ovary;colon;parathyroid;fovea centralis;choroid;skin;retina;bone marrow;prostate;whole body;optic nerve;frontal lobe;endometrium;bone;thyroid;iris;testis;brain;bladder;amygdala;unclassifiable (Anatomical System);lymph node;cartilage;heart;islets of Langerhans;adrenal cortex;blood;lens;breast;lung;placenta;macula lutea;visual apparatus;hippocampus;liver;duodenum;spleen;head and neck;cervix;kidney;mammary gland;stomach;cerebellum;</t>
  </si>
  <si>
    <t xml:space="preserve">dorsal root ganglion;amygdala;thalamus;superior cervical ganglion;occipital lobe;medulla oblongata;spinal cord;pons;atrioventricular node;caudate nucleus;subthalamic nucleus;prefrontal cortex;globus pallidus;trigeminal ganglion;cingulate cortex;parietal lobe;cerebellum;</t>
  </si>
  <si>
    <t xml:space="preserve">ABCB7</t>
  </si>
  <si>
    <t xml:space="preserve">colon;parathyroid;choroid;skin;retina;uterus;prostate;whole body;thyroid;bone;iris;testis;germinal center;brain;unclassifiable (Anatomical System);lymph node;heart;cartilage;blood;skeletal muscle;breast;pancreas;lung;nasopharynx;placenta;liver;spleen;cervix;kidney;stomach;</t>
  </si>
  <si>
    <t xml:space="preserve">superior cervical ganglion;tumor;globus pallidus;ciliary ganglion;white blood cells;trigeminal ganglion;fetal thyroid;</t>
  </si>
  <si>
    <t xml:space="preserve">ABCC9</t>
  </si>
  <si>
    <t xml:space="preserve">unclassifiable (Anatomical System);lung;whole body;frontal lobe;cartilage;liver;testis;brain;mammary gland;retina;</t>
  </si>
  <si>
    <t xml:space="preserve">dorsal root ganglion;superior cervical ganglion;appendix;ciliary ganglion;pons;atrioventricular node;trigeminal ganglion;skeletal muscle;</t>
  </si>
  <si>
    <t xml:space="preserve">ABCD1</t>
  </si>
  <si>
    <t xml:space="preserve">unclassifiable (Anatomical System);lymph node;cartilage;ovary;colon;parathyroid;blood;choroid;skin;skeletal muscle;retina;pancreas;lung;adrenal gland;bone;placenta;alveolus;testis;cervix;kidney;brain;stomach;</t>
  </si>
  <si>
    <t xml:space="preserve">superior cervical ganglion;skeletal muscle;</t>
  </si>
  <si>
    <t xml:space="preserve">ABI3BP</t>
  </si>
  <si>
    <t xml:space="preserve">TISSUE SPECIFICITY: Expressed in brain, heart, lung, liver, pancreas kidney and placenta. {ECO:0000269|PubMed:11501947}.; </t>
  </si>
  <si>
    <t xml:space="preserve">smooth muscle;skin;retina;uterus;prostate;whole body;frontal lobe;cochlea;larynx;thyroid;bone;testis;brain;gall bladder;unclassifiable (Anatomical System);lymph node;heart;cartilage;nervous;blood;lens;skeletal muscle;pancreas;lung;placenta;head and neck;kidney;mammary gland;stomach;aorta;</t>
  </si>
  <si>
    <t xml:space="preserve">ciliary ganglion;</t>
  </si>
  <si>
    <t xml:space="preserve">ACSL6</t>
  </si>
  <si>
    <t xml:space="preserve">TISSUE SPECIFICITY: Expressed predominantly in erythrocyte precursors, in particular in reticulocytes, fetal blood cells derived from fetal liver, hemopoietic stem cells from cord blood, bone marrow and brain. {ECO:0000269|PubMed:10548543}.; </t>
  </si>
  <si>
    <t xml:space="preserve">unclassifiable (Anatomical System);ovary;heart;parathyroid;blood;fovea centralis;choroid;lens;skeletal muscle;skin;retina;uterus;prostate;optic nerve;lung;placenta;macula lutea;hippocampus;liver;testis;spleen;brain;</t>
  </si>
  <si>
    <t xml:space="preserve">amygdala;superior cervical ganglion;testis;skeletal muscle;</t>
  </si>
  <si>
    <t xml:space="preserve">ADAM29</t>
  </si>
  <si>
    <t xml:space="preserve">TISSUE SPECIFICITY: Expressed specifically in testes.; </t>
  </si>
  <si>
    <t xml:space="preserve">testis;kidney;</t>
  </si>
  <si>
    <t xml:space="preserve">dorsal root ganglion;testis - interstitial;superior cervical ganglion;testis - seminiferous tubule;testis;atrioventricular node;trigeminal ganglion;skeletal muscle;</t>
  </si>
  <si>
    <t xml:space="preserve">AK2</t>
  </si>
  <si>
    <t xml:space="preserve">TISSUE SPECIFICITY: Present in most tissues. Present at high level in heart, liver and kidney, and at low level in brain, skeletal muscle and skin. Present in thrombocytes but not in erythrocytes, which lack mitochondria. Present in all nucleated cell populations from blood, while AK1 is mostly absent. In spleen and lymph nodes, mononuclear cells lack AK1, whereas AK2 is readily detectable. These results indicate that leukocytes may be susceptible to defects caused by the lack of AK2, as they do not express AK1 in sufficient amounts to compensate for the AK2 functional deficits (at protein level). {ECO:0000269|PubMed:19043417}.; </t>
  </si>
  <si>
    <t xml:space="preserve">medulla oblongata;ovary;salivary gland;intestine;colon;parathyroid;choroid;skin;retina;bone marrow;uterus;prostate;whole body;frontal lobe;thyroid;testis;germinal center;brain;bladder;gall bladder;unclassifiable (Anatomical System);lymph node;heart;islets of Langerhans;muscle;pharynx;blood;skeletal muscle;breast;pancreas;lung;placenta;visual apparatus;hippocampus;duodenum;liver;cervix;spleen;head and neck;kidney;mammary gland;stomach;</t>
  </si>
  <si>
    <t xml:space="preserve">dorsal root ganglion;superior cervical ganglion;ciliary ganglion;atrioventricular node;trigeminal ganglion;skeletal muscle;bone marrow;</t>
  </si>
  <si>
    <t xml:space="preserve">ANKRD26</t>
  </si>
  <si>
    <t xml:space="preserve">ANKRD30B</t>
  </si>
  <si>
    <t xml:space="preserve">TISSUE SPECIFICITY: Expressed in brain, breast and testis. {ECO:0000269|PubMed:11280766}.; </t>
  </si>
  <si>
    <t xml:space="preserve">breast;unclassifiable (Anatomical System);lung;thyroid;liver;testis;spleen;</t>
  </si>
  <si>
    <t xml:space="preserve">ANKRD30BL</t>
  </si>
  <si>
    <t xml:space="preserve">lung;testis;</t>
  </si>
  <si>
    <t xml:space="preserve">ANKRD36BP2</t>
  </si>
  <si>
    <t xml:space="preserve">ANKRD36C</t>
  </si>
  <si>
    <t xml:space="preserve">unclassifiable (Anatomical System);lymph node;colon;skeletal muscle;retina;breast;uterus;prostate;whole body;lung;cornea;endometrium;larynx;nasopharynx;liver;testis;head and neck;germinal center;kidney;pineal gland;mammary gland;stomach;</t>
  </si>
  <si>
    <t xml:space="preserve">AP4B1-AS1</t>
  </si>
  <si>
    <t xml:space="preserve">AP4B1 antisense RNA 1</t>
  </si>
  <si>
    <t xml:space="preserve">AQP5</t>
  </si>
  <si>
    <t xml:space="preserve">unclassifiable (Anatomical System);medulla oblongata;heart;ovary;lacrimal gland;adrenal cortex;colon;parathyroid;lens;skin;retina;uterus;optic nerve;lung;endometrium;larynx;placenta;testis;kidney;brain;stomach;</t>
  </si>
  <si>
    <t xml:space="preserve">testis - interstitial;trachea;testis - seminiferous tubule;appendix;testis;trigeminal ganglion;skeletal muscle;</t>
  </si>
  <si>
    <t xml:space="preserve">AR</t>
  </si>
  <si>
    <t xml:space="preserve">TISSUE SPECIFICITY: Isoform 2 is mainly expressed in heart and skeletal muscle. {ECO:0000269|PubMed:15634333}.; </t>
  </si>
  <si>
    <t xml:space="preserve">ARHGAP36</t>
  </si>
  <si>
    <t xml:space="preserve">unclassifiable (Anatomical System);whole body;heart;thyroid;placenta;pituitary gland;kidney;brain;mammary gland;</t>
  </si>
  <si>
    <t xml:space="preserve">dorsal root ganglion;superior cervical ganglion;ciliary ganglion;atrioventricular node;trigeminal ganglion;skeletal muscle;pituitary;</t>
  </si>
  <si>
    <t xml:space="preserve">ARHGAP6</t>
  </si>
  <si>
    <t xml:space="preserve">TISSUE SPECIFICITY: Highly expressed in kidney, heart and skeletal muscle followed by retina, lymphoblast, placenta, lung, brain, pancreas and liver.; </t>
  </si>
  <si>
    <t xml:space="preserve">unclassifiable (Anatomical System);heart;colon;blood;skeletal muscle;skin;uterus;prostate;lung;endometrium;trabecular meshwork;liver;spleen;kidney;</t>
  </si>
  <si>
    <t xml:space="preserve">superior cervical ganglion;prostate;thyroid;trigeminal ganglion;skeletal muscle;</t>
  </si>
  <si>
    <t xml:space="preserve">ATAD3C</t>
  </si>
  <si>
    <t xml:space="preserve">ATM</t>
  </si>
  <si>
    <t xml:space="preserve">TISSUE SPECIFICITY: Found in pancreas, kidney, skeletal muscle, liver, lung, placenta, brain, heart, spleen, thymus, testis, ovary, small intestine, colon and leukocytes.; </t>
  </si>
  <si>
    <t xml:space="preserve">smooth muscle;colon;skin;retina;uterus;prostate;thyroid;iris;testis;dura mater;germinal center;brain;unclassifiable (Anatomical System);meninges;lymph node;heart;cartilage;lacrimal gland;islets of Langerhans;blood;skeletal muscle;breast;pia mater;lung;adrenal gland;nasopharynx;placenta;visual apparatus;kidney;mammary gland;stomach;</t>
  </si>
  <si>
    <t xml:space="preserve">dorsal root ganglion;superior cervical ganglion;ciliary ganglion;atrioventricular node;trigeminal ganglion;</t>
  </si>
  <si>
    <t xml:space="preserve">ATP13A4</t>
  </si>
  <si>
    <t xml:space="preserve">ATPase 13A4</t>
  </si>
  <si>
    <t xml:space="preserve">TISSUE SPECIFICITY: Expressed in heart, placenta, liver, skeletal muscles, and pancreas. Lower levels of expression are also detected in brain, lung and kidney. Weakly expressed in the adult brain. Expression in fetal brain is higher than in adult brain, with levels similar to several other fetal tissues including spleen and skeletal muscle. In adult brain expressed at low levels in all tissues examined, including the temporal lobe and putamen. {ECO:0000269|PubMed:15925480}.; </t>
  </si>
  <si>
    <t xml:space="preserve">unclassifiable (Anatomical System);frontal lobe;larynx;thyroid;oral cavity;pituitary gland;head and neck;brain;skeletal muscle;stomach;tonsil;</t>
  </si>
  <si>
    <t xml:space="preserve">dorsal root ganglion;superior cervical ganglion;ciliary ganglion;pons;atrioventricular node;trigeminal ganglion;</t>
  </si>
  <si>
    <t xml:space="preserve">ATP13A4-AS1</t>
  </si>
  <si>
    <t xml:space="preserve">ATP13A4 antisense RNA 1</t>
  </si>
  <si>
    <t xml:space="preserve">ATP6V1H</t>
  </si>
  <si>
    <t xml:space="preserve">TISSUE SPECIFICITY: Widely expressed. {ECO:0000269|PubMed:9620685}.; </t>
  </si>
  <si>
    <t xml:space="preserve">lymphoreticular;smooth muscle;ovary;sympathetic chain;colon;parathyroid;vein;skin;retina;bone marrow;uterus;prostate;frontal lobe;bone;thyroid;testis;dura mater;germinal center;spinal ganglion;brain;pineal gland;bladder;unclassifiable (Anatomical System);meninges;lymph node;cartilage;heart;tongue;islets of Langerhans;hypothalamus;breast;bile duct;pancreas;pia mater;lung;nasopharynx;placenta;visual apparatus;hippocampus;alveolus;liver;cervix;spleen;head and neck;kidney;mammary gland;aorta;stomach;</t>
  </si>
  <si>
    <t xml:space="preserve">amygdala;whole brain;thalamus;occipital lobe;medulla oblongata;hypothalamus;temporal lobe;caudate nucleus;pons;subthalamic nucleus;prefrontal cortex;globus pallidus;cingulate cortex;parietal lobe;</t>
  </si>
  <si>
    <t xml:space="preserve">ATP8B1</t>
  </si>
  <si>
    <t xml:space="preserve">TISSUE SPECIFICITY: Found in most tissues except brain and skeletal muscle. Most abundant in pancreas and small intestine.; </t>
  </si>
  <si>
    <t xml:space="preserve">unclassifiable (Anatomical System);cartilage;ovary;lacrimal gland;urinary;colon;blood;skeletal muscle;retina;breast;uterus;lung;endometrium;epididymis;bone;thyroid;liver;testis;germinal center;mammary gland;stomach;</t>
  </si>
  <si>
    <t xml:space="preserve">superior cervical ganglion;prostate;ciliary ganglion;pons;atrioventricular node;trigeminal ganglion;parietal lobe;</t>
  </si>
  <si>
    <t xml:space="preserve">ATR</t>
  </si>
  <si>
    <t xml:space="preserve">TISSUE SPECIFICITY: Ubiquitous, with highest expression in testis. Isoform 2 is found in pancreas, placenta and liver but not in heart, testis and ovary. {ECO:0000269|PubMed:11470508, ECO:0000269|PubMed:8610130, ECO:0000269|PubMed:8843195}.; </t>
  </si>
  <si>
    <t xml:space="preserve">ovary;colon;parathyroid;skin;uterus;prostate;whole body;frontal lobe;endometrium;bone;testis;germinal center;spinal ganglion;brain;unclassifiable (Anatomical System);lymph node;heart;tongue;islets of Langerhans;blood;skeletal muscle;breast;pancreas;lung;placenta;visual apparatus;liver;alveolus;head and neck;kidney;mammary gland;stomach;peripheral nerve;</t>
  </si>
  <si>
    <t xml:space="preserve">amygdala;superior cervical ganglion;medulla oblongata;testis - interstitial;thyroid;globus pallidus;white blood cells;ciliary ganglion;pons;skeletal muscle;pituitary;</t>
  </si>
  <si>
    <t xml:space="preserve">AXL</t>
  </si>
  <si>
    <t xml:space="preserve">TISSUE SPECIFICITY: Highly expressed in metastatic colon tumors. Expressed in primary colon tumors. Weakly expressed in normal colon tissue. {ECO:0000269|PubMed:7896447}.; </t>
  </si>
  <si>
    <t xml:space="preserve">myocardium;smooth muscle;ovary;skin;retina;prostate;optic nerve;thyroid;iris;amniotic fluid;bladder;brain;heart;cartilage;pharynx;blood;lens;skeletal muscle;breast;visual apparatus;macula lutea;liver;alveolus;spleen;cervix;mammary gland;salivary gland;intestine;colon;parathyroid;fovea centralis;choroid;vein;uterus;whole body;cerebral cortex;larynx;synovium;bone;testis;unclassifiable (Anatomical System);bile duct;pancreas;lung;cornea;mesenchyma;placenta;head and neck;kidney;stomach;aorta;</t>
  </si>
  <si>
    <t xml:space="preserve">superior cervical ganglion;testis;trigeminal ganglion;skeletal muscle;</t>
  </si>
  <si>
    <t xml:space="preserve">B4GALNT4</t>
  </si>
  <si>
    <t xml:space="preserve">TISSUE SPECIFICITY: Highly expressed in ovary, adult and fetal brain. Also expressed in fetal kidney and lung. {ECO:0000269|PubMed:15044014}.; </t>
  </si>
  <si>
    <t xml:space="preserve">unclassifiable (Anatomical System);lymph node;heart;ovary;developmental;colon;parathyroid;fovea centralis;choroid;lens;skin;retina;uterus;optic nerve;lung;placenta;macula lutea;liver;testis;brain;mammary gland;</t>
  </si>
  <si>
    <t xml:space="preserve">amygdala;occipital lobe;medulla oblongata;prefrontal cortex;globus pallidus;caudate nucleus;</t>
  </si>
  <si>
    <t xml:space="preserve">BACE2</t>
  </si>
  <si>
    <t xml:space="preserve">TISSUE SPECIFICITY: Brain. Present in neurons within the hippocampus, frontal cortex and temporal cortex (at protein level). Expressed at low levels in most peripheral tissues and at higher levels in colon, kidney, pancreas, placenta, prostate, stomach and trachea. Expressed at low levels in the brain. Found in spinal cord, medulla oblongata, substantia nigra and locus coruleus. Expressed in the ductal epithelium of both normal and malignant prostate. {ECO:0000269|PubMed:10591213, ECO:0000269|PubMed:10677483, ECO:0000269|PubMed:10683441, ECO:0000269|PubMed:10749877, ECO:0000269|PubMed:10838186, ECO:0000269|PubMed:10965118, ECO:0000269|PubMed:11083922}.; </t>
  </si>
  <si>
    <t xml:space="preserve">myocardium;ovary;sympathetic chain;colon;parathyroid;fovea centralis;choroid;vein;skin;retina;bone marrow;uterus;prostate;optic nerve;cochlea;endometrium;larynx;bone;thyroid;testis;dura mater;brain;unclassifiable (Anatomical System);meninges;lymph node;cartilage;heart;blood;lens;skeletal muscle;breast;pancreas;pia mater;lung;cornea;adrenal gland;placenta;macula lutea;liver;spleen;head and neck;cervix;kidney;mammary gland;stomach;aorta;</t>
  </si>
  <si>
    <t xml:space="preserve">superior cervical ganglion;</t>
  </si>
  <si>
    <t xml:space="preserve">BCL6</t>
  </si>
  <si>
    <t xml:space="preserve">TISSUE SPECIFICITY: Expressed in germinal center T- and B-cells and in primary immature dendritic cells. {ECO:0000269|PubMed:10981963, ECO:0000269|PubMed:12402037, ECO:0000269|PubMed:15454082, ECO:0000269|PubMed:16142238, ECO:0000269|PubMed:16455075, ECO:0000269|PubMed:17828269, ECO:0000269|PubMed:18212045, ECO:0000269|PubMed:9649500}.; </t>
  </si>
  <si>
    <t xml:space="preserve">ovary;sympathetic chain;colon;parathyroid;fovea centralis;choroid;skin;retina;bone marrow;uterus;prostate;optic nerve;frontal lobe;endometrium;larynx;bone;testis;amniotic fluid;germinal center;brain;bladder;unclassifiable (Anatomical System);lymph node;cartilage;heart;lacrimal gland;islets of Langerhans;hypothalamus;blood;lens;breast;pancreas;lung;epididymis;placenta;macula lutea;liver;spleen;head and neck;cervix;mammary gland;stomach;aorta;peripheral nerve;cerebellum;</t>
  </si>
  <si>
    <t xml:space="preserve">superior cervical ganglion;ciliary ganglion;skeletal muscle;cerebellum;</t>
  </si>
  <si>
    <t xml:space="preserve">BCYRN1</t>
  </si>
  <si>
    <t xml:space="preserve">brain cytoplasmic RNA 1</t>
  </si>
  <si>
    <t xml:space="preserve">BIRC6</t>
  </si>
  <si>
    <t xml:space="preserve">TISSUE SPECIFICITY: Expressed in brain cancer cells.; </t>
  </si>
  <si>
    <t xml:space="preserve">BMS1P20</t>
  </si>
  <si>
    <t xml:space="preserve">BPIFB3</t>
  </si>
  <si>
    <t xml:space="preserve">TISSUE SPECIFICITY: Detected in nasal septal epithelium. {ECO:0000269|PubMed:11971875}.; </t>
  </si>
  <si>
    <t xml:space="preserve">C10orf67</t>
  </si>
  <si>
    <t xml:space="preserve">lung;kidney;</t>
  </si>
  <si>
    <t xml:space="preserve">CA5A</t>
  </si>
  <si>
    <t xml:space="preserve">unclassifiable (Anatomical System);liver;spleen;germinal center;</t>
  </si>
  <si>
    <t xml:space="preserve">dorsal root ganglion;superior cervical ganglion;liver;globus pallidus;ciliary ganglion;pons;atrioventricular node;trigeminal ganglion;skeletal muscle;</t>
  </si>
  <si>
    <t xml:space="preserve">CACNA1G</t>
  </si>
  <si>
    <t xml:space="preserve">TISSUE SPECIFICITY: Highly expressed in brain, in particular in the amygdala, subthalamic nuclei, cerebellum and thalamus. Moderate expression in heart; low expression in placenta, kidney and lung. Also expressed in colon and bone marrow and in tumoral cells to a lesser extent. Highly expressed in fetal brain, but also in peripheral fetal tissues as heart, kidney and lung, suggesting a developmentally regulated expression.; </t>
  </si>
  <si>
    <t xml:space="preserve">unclassifiable (Anatomical System);uterus;lung;heart;visual apparatus;testis;colon;brain;skeletal muscle;</t>
  </si>
  <si>
    <t xml:space="preserve">dorsal root ganglion;superior cervical ganglion;thalamus;cerebellum peduncles;atrioventricular node;pons;skeletal muscle;subthalamic nucleus;globus pallidus;ciliary ganglion;trigeminal ganglion;parietal lobe;cerebellum;</t>
  </si>
  <si>
    <t xml:space="preserve">CACNB2</t>
  </si>
  <si>
    <t xml:space="preserve">TISSUE SPECIFICITY: Expressed in all tissues.; </t>
  </si>
  <si>
    <t xml:space="preserve">unclassifiable (Anatomical System);myocardium;heart;ovary;islets of Langerhans;parathyroid;fovea centralis;breast;uterus;pancreas;prostate;lung;frontal lobe;bone;placenta;macula lutea;hippocampus;pituitary gland;liver;spleen;kidney;brain;mammary gland;aorta;</t>
  </si>
  <si>
    <t xml:space="preserve">superior cervical ganglion;subthalamic nucleus;medulla oblongata;occipital lobe;cerebellum peduncles;temporal lobe;prefrontal cortex;globus pallidus;pons;pituitary;cingulate cortex;parietal lobe;</t>
  </si>
  <si>
    <t xml:space="preserve">CAMSAP1</t>
  </si>
  <si>
    <t xml:space="preserve">ovary;parathyroid;skin;retina;bone marrow;uterus;whole body;bone;iris;testis;germinal center;brain;pineal gland;gall bladder;unclassifiable (Anatomical System);heart;tongue;islets of Langerhans;blood;lens;skeletal muscle;pancreas;lung;epididymis;visual apparatus;liver;spleen;head and neck;cervix;mammary gland;stomach;peripheral nerve;thymus;</t>
  </si>
  <si>
    <t xml:space="preserve">amygdala;whole brain;dorsal root ganglion;testis - interstitial;superior cervical ganglion;thalamus;medulla oblongata;occipital lobe;cerebellum peduncles;temporal lobe;pons;caudate nucleus;skeletal muscle;subthalamic nucleus;fetal brain;testis - seminiferous tubule;prefrontal cortex;globus pallidus;testis;ciliary ganglion;trigeminal ganglion;cingulate cortex;parietal lobe;cerebellum;</t>
  </si>
  <si>
    <t xml:space="preserve">CAPN14</t>
  </si>
  <si>
    <t xml:space="preserve">TISSUE SPECIFICITY: Not expressed in tissues tested.; </t>
  </si>
  <si>
    <t xml:space="preserve">CBWD1</t>
  </si>
  <si>
    <t xml:space="preserve">TISSUE SPECIFICITY: Ubiquitously expressed. Up-regulated in cultured astrocytes treated with dopamine. {ECO:0000269|PubMed:15233989}.; </t>
  </si>
  <si>
    <t xml:space="preserve">lymphoreticular;smooth muscle;ovary;skin;bone marrow;retina;prostate;optic nerve;cochlea;endometrium;gum;thyroid;germinal center;bladder;brain;heart;cartilage;urinary;pharynx;blood;lens;skeletal muscle;breast;macula lutea;visual apparatus;liver;spleen;cervix;mammary gland;salivary gland;intestine;colon;parathyroid;fovea centralis;choroid;vein;uterus;whole body;bone;testis;pineal gland;unclassifiable (Anatomical System);lymph node;islets of Langerhans;hypothalamus;bile duct;pancreas;lung;adrenal gland;nasopharynx;placenta;hippocampus;head and neck;kidney;stomach;aorta;thymus;</t>
  </si>
  <si>
    <t xml:space="preserve">CCDC180</t>
  </si>
  <si>
    <t xml:space="preserve">CCDC30</t>
  </si>
  <si>
    <t xml:space="preserve">TISSUE SPECIFICITY: Expressed in brain, kidney, pancreas, placenta, liver, thymus and prostate. {ECO:0000269|PubMed:16710767}.; </t>
  </si>
  <si>
    <t xml:space="preserve">unclassifiable (Anatomical System);lung;frontal lobe;ovary;testis;kidney;</t>
  </si>
  <si>
    <t xml:space="preserve">superior cervical ganglion;globus pallidus;trigeminal ganglion;skeletal muscle;</t>
  </si>
  <si>
    <t xml:space="preserve">CCDC39</t>
  </si>
  <si>
    <t xml:space="preserve">TISSUE SPECIFICITY: Mainly expressed in nasal brushings and, to a lesser extent, in lungs and testis. {ECO:0000269|PubMed:21131972}.; </t>
  </si>
  <si>
    <t xml:space="preserve">testis;</t>
  </si>
  <si>
    <t xml:space="preserve">CCDC80</t>
  </si>
  <si>
    <t xml:space="preserve">TISSUE SPECIFICITY: Expressed in dermal papilla and dermal fibroblasts (at protein level). Expressed in heart, thymus, placenta, pancreas, colon, epithelium, spleen and osteoblasts. {ECO:0000269|PubMed:15325258, ECO:0000269|PubMed:15563452, ECO:0000269|PubMed:15998583}.; </t>
  </si>
  <si>
    <t xml:space="preserve">myocardium;ovary;colon;parathyroid;fovea centralis;choroid;skin;retina;bone marrow;uterus;prostate;optic nerve;whole body;cochlea;cerebral cortex;endometrium;larynx;bone;thyroid;testis;spinal ganglion;brain;unclassifiable (Anatomical System);lymph node;cartilage;heart;tongue;islets of Langerhans;pineal body;lens;skeletal muscle;bile duct;breast;pancreas;lung;epididymis;trabecular meshwork;placenta;macula lutea;visual apparatus;liver;spleen;head and neck;kidney;mammary gland;stomach;peripheral nerve;</t>
  </si>
  <si>
    <t xml:space="preserve">uterus;superior cervical ganglion;smooth muscle;adipose tissue;heart;testis;ciliary ganglion;</t>
  </si>
  <si>
    <t xml:space="preserve">CCDC93</t>
  </si>
  <si>
    <t xml:space="preserve">lymphoreticular;cerebral cortex;endometrium;larynx;visual apparatus;liver;colon;spleen;head and neck;brain;</t>
  </si>
  <si>
    <t xml:space="preserve">dorsal root ganglion;superior cervical ganglion;subthalamic nucleus;globus pallidus;ciliary ganglion;atrioventricular node;trigeminal ganglion;skeletal muscle;</t>
  </si>
  <si>
    <t xml:space="preserve">CD74</t>
  </si>
  <si>
    <t xml:space="preserve">lymphoreticular;medulla oblongata;ovary;skin;bone marrow;retina;prostate;endometrium;thyroid;germinal center;bladder;brain;tonsil;cartilage;heart;urinary;pharynx;blood;lens;breast;epididymis;visual apparatus;liver;spleen;mammary gland;salivary gland;intestine;colon;choroid;uterus;cerebral cortex;testis;spinal ganglion;unclassifiable (Anatomical System);lymph node;lacrimal gland;islets of Langerhans;hypothalamus;muscle;bile duct;pancreas;lung;adrenal gland;nasopharynx;placenta;hippocampus;kidney;stomach;thymus;</t>
  </si>
  <si>
    <t xml:space="preserve">white blood cells;</t>
  </si>
  <si>
    <t xml:space="preserve">CDK11A</t>
  </si>
  <si>
    <t xml:space="preserve">TISSUE SPECIFICITY: Expressed ubiquitously. Some evidence of isoform-specific tissue distribution. {ECO:0000269|PubMed:8195233, ECO:0000269|PubMed:9750192}.; </t>
  </si>
  <si>
    <t xml:space="preserve">lymphoreticular;ovary;foreskin;colon;skin;retina;bone marrow;uterus;prostate;cerebral cortex;endometrium;larynx;bone;thyroid;testis;germinal center;brain;bladder;gall bladder;tonsil;unclassifiable (Anatomical System);lymph node;cartilage;heart;epidermis;tongue;islets of Langerhans;blood;skeletal muscle;breast;bile duct;pancreas;lung;epididymis;nasopharynx;placenta;visual apparatus;amnion;duodenum;liver;spleen;head and neck;cervix;kidney;mammary gland;stomach;thymus;</t>
  </si>
  <si>
    <t xml:space="preserve">superior cervical ganglion;testis - interstitial;testis - seminiferous tubule;heart;testis;white blood cells;trigeminal ganglion;skeletal muscle;parietal lobe;</t>
  </si>
  <si>
    <t xml:space="preserve">CEP164</t>
  </si>
  <si>
    <t xml:space="preserve">TISSUE SPECIFICITY: Expressed in several cell lines. {ECO:0000269|PubMed:17954613}.; </t>
  </si>
  <si>
    <t xml:space="preserve">smooth muscle;colon;fovea centralis;choroid;skin;retina;bone marrow;uterus;prostate;optic nerve;frontal lobe;endometrium;bone;testis;germinal center;brain;unclassifiable (Anatomical System);lymph node;heart;cartilage;islets of Langerhans;pharynx;blood;lens;skeletal muscle;lung;macula lutea;liver;spleen;kidney;stomach;peripheral nerve;</t>
  </si>
  <si>
    <t xml:space="preserve">dorsal root ganglion;superior cervical ganglion;testis - interstitial;testis;ciliary ganglion;</t>
  </si>
  <si>
    <t xml:space="preserve">CGRRF1</t>
  </si>
  <si>
    <t xml:space="preserve">medulla oblongata;smooth muscle;ovary;colon;parathyroid;skin;retina;uterus;prostate;bone;pituitary gland;testis;dura mater;germinal center;brain;unclassifiable (Anatomical System);meninges;lymph node;heart;cartilage;islets of Langerhans;hypothalamus;pineal body;pancreas;pia mater;lung;nasopharynx;placenta;liver;spleen;kidney;stomach;aorta;</t>
  </si>
  <si>
    <t xml:space="preserve">dorsal root ganglion;testis - interstitial;superior cervical ganglion;subthalamic nucleus;testis - seminiferous tubule;globus pallidus;testis;ciliary ganglion;pons;atrioventricular node;trigeminal ganglion;skeletal muscle;</t>
  </si>
  <si>
    <t xml:space="preserve">CHRNA1</t>
  </si>
  <si>
    <t xml:space="preserve">TISSUE SPECIFICITY: Isoform 1 is only expressed in skeletal muscle. Isoform 2 is constitutively expressed in skeletal muscle, brain, heart, kidney, liver, lung and thymus.; </t>
  </si>
  <si>
    <t xml:space="preserve">unclassifiable (Anatomical System);ovary;heart;tongue;larynx;bone;placenta;visual apparatus;muscle;liver;parathyroid;head and neck;skin;</t>
  </si>
  <si>
    <t xml:space="preserve">dorsal root ganglion;uterus corpus;superior cervical ganglion;appendix;testis;ciliary ganglion;atrioventricular node;trigeminal ganglion;skeletal muscle;skin;</t>
  </si>
  <si>
    <t xml:space="preserve">CNTN4</t>
  </si>
  <si>
    <t xml:space="preserve">TISSUE SPECIFICITY: Mainly expressed in brain. Highly expressed in cerebellum and weakly expressed in corpus callosum, caudate nucleus, amygdala and spinal cord. Also expressed in testis, pancreas, thyroid, uterus, small intestine and kidney. Not expressed in skeletal muscle. Isoform 2 is weakly expressed in cerebral cortex. {ECO:0000269|PubMed:11013081, ECO:0000269|PubMed:14571131}.; </t>
  </si>
  <si>
    <t xml:space="preserve">unclassifiable (Anatomical System);ovary;islets of Langerhans;colon;parathyroid;retina;prostate;whole body;lung;frontal lobe;nasopharynx;bone;placenta;visual apparatus;alveolus;testis;kidney;brain;aorta;</t>
  </si>
  <si>
    <t xml:space="preserve">dorsal root ganglion;testis - interstitial;subthalamic nucleus;appendix;ciliary ganglion;atrioventricular node;trigeminal ganglion;skin;</t>
  </si>
  <si>
    <t xml:space="preserve">CORO7</t>
  </si>
  <si>
    <t xml:space="preserve">7.31151184071541e-12</t>
  </si>
  <si>
    <t xml:space="preserve">coronin 7</t>
  </si>
  <si>
    <t xml:space="preserve">FUNCTION: F-actin regulator involved in anterograde Golgi to endosome transport: upon ubiquitination via 'Lys-33'-linked ubiquitin chains by the BCR(KLHL20) E3 ubiquitin ligase complex, interacts with EPS15 and localizes to the trans-Golgi network, where it promotes actin polymerization, thereby facilitating post- Golgi trafficking. May play a role in the maintenance of the Golgi apparatus morphology. {ECO:0000269|PubMed:16905771, ECO:0000269|PubMed:24768539}.; </t>
  </si>
  <si>
    <t xml:space="preserve">TISSUE SPECIFICITY: Widely expressed. Expressed in the spleen, peripheral leukocytes, testes, brain, thymus and small intestine. {ECO:0000269|PubMed:21130766}.; </t>
  </si>
  <si>
    <t xml:space="preserve">lymphoreticular;ovary;salivary gland;colon;skin;bone marrow;prostate;optic nerve;frontal lobe;endometrium;testis;brain;unclassifiable (Anatomical System);lymph node;heart;islets of Langerhans;hypothalamus;muscle;blood;skeletal muscle;pancreas;lung;placenta;visual apparatus;hippocampus;spleen;kidney;</t>
  </si>
  <si>
    <t xml:space="preserve">adrenal cortex;white blood cells;ciliary ganglion;caudate nucleus;whole blood;</t>
  </si>
  <si>
    <t xml:space="preserve">CORO7-PAM16</t>
  </si>
  <si>
    <t xml:space="preserve">1.62821439778502e-12</t>
  </si>
  <si>
    <t xml:space="preserve">CORO7-PAM16 readthrough</t>
  </si>
  <si>
    <t xml:space="preserve">CPA6</t>
  </si>
  <si>
    <t xml:space="preserve">TISSUE SPECIFICITY: Expressed in the hippocampus, nucleus raphe, and cortex. {ECO:0000269|PubMed:21922598}.; </t>
  </si>
  <si>
    <t xml:space="preserve">unclassifiable (Anatomical System);prostate;brain;retina;bone marrow;</t>
  </si>
  <si>
    <t xml:space="preserve">superior cervical ganglion;atrioventricular node;trigeminal ganglion;</t>
  </si>
  <si>
    <t xml:space="preserve">CPED1</t>
  </si>
  <si>
    <t xml:space="preserve">CSNK1G1</t>
  </si>
  <si>
    <t xml:space="preserve">unclassifiable (Anatomical System);lymphoreticular;medulla oblongata;cartilage;heart;colon;blood;skin;breast;uterus;prostate;lung;endometrium;thyroid;placenta;liver;testis;spleen;cervix;germinal center;brain;mammary gland;</t>
  </si>
  <si>
    <t xml:space="preserve">superior cervical ganglion;subthalamic nucleus;testis - interstitial;testis - seminiferous tubule;testis;ciliary ganglion;atrioventricular node;trigeminal ganglion;cingulate cortex;skeletal muscle;</t>
  </si>
  <si>
    <t xml:space="preserve">CTBP2</t>
  </si>
  <si>
    <t xml:space="preserve">TISSUE SPECIFICITY: Ubiquitous. Highest levels in heart, skeletal muscle, and pancreas.; </t>
  </si>
  <si>
    <t xml:space="preserve">ovary;skin;retina;bone marrow;prostate;optic nerve;endometrium;thyroid;germinal center;bladder;brain;heart;cartilage;tongue;adrenal cortex;pharynx;blood;lens;breast;trabecular meshwork;macula lutea;visual apparatus;liver;spleen;cervix;mammary gland;salivary gland;intestine;colon;parathyroid;fovea centralis;choroid;vein;uterus;whole body;oesophagus;cerebral cortex;larynx;synovium;bone;testis;unclassifiable (Anatomical System);lacrimal gland;islets of Langerhans;hypothalamus;muscle;pancreas;lung;adrenal gland;placenta;head and neck;kidney;stomach;cerebellum;</t>
  </si>
  <si>
    <t xml:space="preserve">superior cervical ganglion;ciliary ganglion;trigeminal ganglion;skeletal muscle;</t>
  </si>
  <si>
    <t xml:space="preserve">CTDSP2</t>
  </si>
  <si>
    <t xml:space="preserve">TISSUE SPECIFICITY: Expression is restricted to non-neuronal tissues. Highest expression in pancreas and lowest in liver. {ECO:0000269|PubMed:15681389}.; </t>
  </si>
  <si>
    <t xml:space="preserve">CXCL8</t>
  </si>
  <si>
    <t xml:space="preserve">CYP4F22</t>
  </si>
  <si>
    <t xml:space="preserve">unclassifiable (Anatomical System);uterus;heart;epididymis;skin;</t>
  </si>
  <si>
    <t xml:space="preserve">atrioventricular node;</t>
  </si>
  <si>
    <t xml:space="preserve">DCDC1</t>
  </si>
  <si>
    <t xml:space="preserve">doublecortin domain containing 1</t>
  </si>
  <si>
    <t xml:space="preserve">TISSUE SPECIFICITY: Highly expressed in testis. Lower levels of expression in lung, kidney, and pancreas. Higher expression in fetal brain than in adult brain. {ECO:0000269|PubMed:12820024}.; </t>
  </si>
  <si>
    <t xml:space="preserve">DCDC5</t>
  </si>
  <si>
    <t xml:space="preserve">doublecortin domain containing 5</t>
  </si>
  <si>
    <t xml:space="preserve">unclassifiable (Anatomical System);frontal lobe;ovary;placenta;liver;testis;parathyroid;spleen;retina;</t>
  </si>
  <si>
    <t xml:space="preserve">whole brain;dorsal root ganglion;testis - interstitial;superior cervical ganglion;globus pallidus;ciliary ganglion;atrioventricular node;trigeminal ganglion;skeletal muscle;</t>
  </si>
  <si>
    <t xml:space="preserve">DDX11</t>
  </si>
  <si>
    <t xml:space="preserve">TISSUE SPECIFICITY: Highly expressed in spleen, B-cells, thymus, testis, ovary, small intestine, and pancreas. Very low expression seen in the brain. Expressed in dividing cells and/or cells undergoing high levels of recombination. No expression is seen in cells signaled to terminally differentiate. Expressed in keratinocyte growth factor-stimulated cells but not in serum, EGF and IL1-beta-treated keratinocytes. {ECO:0000269|PubMed:8798685, ECO:0000269|PubMed:9013641}.; </t>
  </si>
  <si>
    <t xml:space="preserve">lymphoreticular;smooth muscle;ovary;colon;skin;uterus;prostate;optic nerve;frontal lobe;endometrium;bone;testis;germinal center;brain;pineal gland;unclassifiable (Anatomical System);lymph node;cartilage;heart;blood;skeletal muscle;pancreas;lung;epididymis;nasopharynx;placenta;liver;duodenum;spleen;cervix;kidney;mammary gland;stomach;thymus;</t>
  </si>
  <si>
    <t xml:space="preserve">superior cervical ganglion;testis;atrioventricular node;</t>
  </si>
  <si>
    <t xml:space="preserve">DDX43</t>
  </si>
  <si>
    <t xml:space="preserve">TISSUE SPECIFICITY: Expressed in testis. Expressed in many tumors of various histological types at a level that is 100-fold higher than the level observed in normal tissues except testis. {ECO:0000269|PubMed:10919659}.; </t>
  </si>
  <si>
    <t xml:space="preserve">DDX5</t>
  </si>
  <si>
    <t xml:space="preserve">myocardium;ovary;colon;parathyroid;fovea centralis;choroid;skin;retina;bone marrow;uterus;optic nerve;whole body;frontal lobe;cochlea;endometrium;gum;bone;testis;germinal center;spinal ganglion;brain;gall bladder;unclassifiable (Anatomical System);lymph node;cartilage;heart;islets of Langerhans;urinary;adrenal cortex;pharynx;blood;lens;pancreas;lung;placenta;macula lutea;visual apparatus;liver;spleen;cervix;kidney;mammary gland;aorta;stomach;peripheral nerve;thymus;</t>
  </si>
  <si>
    <t xml:space="preserve">adrenal cortex;white blood cells;ciliary ganglion;</t>
  </si>
  <si>
    <t xml:space="preserve">DHODH</t>
  </si>
  <si>
    <t xml:space="preserve">unclassifiable (Anatomical System);ovary;islets of Langerhans;bone marrow;prostate;optic nerve;lung;endometrium;larynx;placenta;visual apparatus;liver;testis;head and neck;spleen;cervix;spinal ganglion;brain;stomach;gall bladder;</t>
  </si>
  <si>
    <t xml:space="preserve">superior cervical ganglion;liver;ciliary ganglion;pons;atrioventricular node;trigeminal ganglion;skeletal muscle;</t>
  </si>
  <si>
    <t xml:space="preserve">DHRS9</t>
  </si>
  <si>
    <t xml:space="preserve">TISSUE SPECIFICITY: Highly expressed in trachea and epidermis. Detected at lower levels in spinal cord, bone marrow, brain, tongue, esophagus, heart, colon, testis, placenta, lung, skeletal muscle and lymph node. {ECO:0000269|PubMed:11294878, ECO:0000269|PubMed:11304534, ECO:0000269|PubMed:12618084}.; </t>
  </si>
  <si>
    <t xml:space="preserve">unclassifiable (Anatomical System);lymphoreticular;medulla oblongata;cartilage;islets of Langerhans;colon;blood;skin;uterus;pancreas;lung;endometrium;adrenal gland;nasopharynx;bone;testis;cervix;kidney;germinal center;brain;stomach;</t>
  </si>
  <si>
    <t xml:space="preserve">dorsal root ganglion;superior cervical ganglion;ciliary ganglion;atrioventricular node;trigeminal ganglion;skeletal muscle;skin;</t>
  </si>
  <si>
    <t xml:space="preserve">DIS3L2</t>
  </si>
  <si>
    <t xml:space="preserve">unclassifiable (Anatomical System);lymph node;heart;ovary;islets of Langerhans;hypothalamus;colon;blood;parathyroid;lens;skeletal muscle;bone marrow;pancreas;whole body;lung;nasopharynx;placenta;bone;visual apparatus;testis;kidney;mammary gland;brain;</t>
  </si>
  <si>
    <t xml:space="preserve">superior cervical ganglion;ciliary ganglion;trigeminal ganglion;</t>
  </si>
  <si>
    <t xml:space="preserve">DMD</t>
  </si>
  <si>
    <t xml:space="preserve">TISSUE SPECIFICITY: Expressed in muscle fibers accumulating in the costameres of myoplasm at the sarcolemma. Expressed in brain, muscle, kidney, lung and testis. Isoform 5 is expressed in heart, brain, liver, testis and hepatoma cells. Most tissues contain transcripts of multiple isoforms, however only isoform 5 is detected in heart and liver. {ECO:0000269|PubMed:1319059, ECO:0000269|PubMed:16000376, ECO:0000269|PubMed:8541829}.; </t>
  </si>
  <si>
    <t xml:space="preserve">ovary;sympathetic chain;colon;fovea centralis;choroid;skin;retina;uterus;prostate;optic nerve;whole body;frontal lobe;cochlea;endometrium;thyroid;bone;testis;germinal center;brain;artery;unclassifiable (Anatomical System);amygdala;heart;tongue;islets of Langerhans;hypothalamus;spinal cord;lens;skeletal muscle;lung;adrenal gland;nasopharynx;placenta;hippocampus;macula lutea;liver;spleen;head and neck;cervix;stomach;aorta;cerebellum;</t>
  </si>
  <si>
    <t xml:space="preserve">dorsal root ganglion;superior cervical ganglion;olfactory bulb;appendix;ciliary ganglion;atrioventricular node;pons;trigeminal ganglion;skin;</t>
  </si>
  <si>
    <t xml:space="preserve">DMPK</t>
  </si>
  <si>
    <t xml:space="preserve">TISSUE SPECIFICITY: Most isoforms are expressed in many tissues including heart, skeletal muscle, liver and brain, except for isoform 2 which is only found in the heart and skeletal muscle, and isoform 14 which is only found in the brain, with high levels in the striatum, cerebellar cortex and pons. {ECO:0000269|PubMed:7488138}.; </t>
  </si>
  <si>
    <t xml:space="preserve">ovary;colon;skin;retina;uterus;prostate;frontal lobe;larynx;thyroid;iris;testis;germinal center;brain;spinal ganglion;tonsil;unclassifiable (Anatomical System);muscle;lens;lung;mesenchyma;placenta;liver;head and neck;cervix;kidney;stomach;</t>
  </si>
  <si>
    <t xml:space="preserve">superior cervical ganglion;atrioventricular node;pons;trigeminal ganglion;skeletal muscle;</t>
  </si>
  <si>
    <t xml:space="preserve">DNAH5</t>
  </si>
  <si>
    <t xml:space="preserve">unclassifiable (Anatomical System);endometrium;islets of Langerhans;bone;amnion;blood;kidney;mammary gland;corpus callosum;</t>
  </si>
  <si>
    <t xml:space="preserve">dorsal root ganglion;superior cervical ganglion;ciliary ganglion;atrioventricular node;skeletal muscle;</t>
  </si>
  <si>
    <t xml:space="preserve">DNAH6</t>
  </si>
  <si>
    <t xml:space="preserve">TISSUE SPECIFICITY: Detected in brain, testis and trachea. {ECO:0000269|PubMed:11175280}.; </t>
  </si>
  <si>
    <t xml:space="preserve">uterus;meninges;pia mater;lung;endometrium;bone;pituitary gland;dura mater;skin;</t>
  </si>
  <si>
    <t xml:space="preserve">superior cervical ganglion;subthalamic nucleus;testis - seminiferous tubule;testis;ciliary ganglion;pons;atrioventricular node;caudate nucleus;trigeminal ganglion;parietal lobe;</t>
  </si>
  <si>
    <t xml:space="preserve">DNASE2B</t>
  </si>
  <si>
    <t xml:space="preserve">TISSUE SPECIFICITY: Highly expressed in the eye lens and in salivary gland. Detected at lower levels in lung, prostate and lymph node. Isoform 2 is lung specific. {ECO:0000269|PubMed:11376952, ECO:0000269|PubMed:11700027, ECO:0000269|PubMed:12944971}.; </t>
  </si>
  <si>
    <t xml:space="preserve">DNMT3L</t>
  </si>
  <si>
    <t xml:space="preserve">TISSUE SPECIFICITY: Expressed at low levels in several tissues including testis, ovary, and thymus.; </t>
  </si>
  <si>
    <t xml:space="preserve">unclassifiable (Anatomical System);lung;placenta;testis;</t>
  </si>
  <si>
    <t xml:space="preserve">superior cervical ganglion;testis - seminiferous tubule;liver;pons;</t>
  </si>
  <si>
    <t xml:space="preserve">DOK7</t>
  </si>
  <si>
    <t xml:space="preserve">TISSUE SPECIFICITY: Preferentially expressed in skeletal muscle and heart. Present in thigh muscle, diaphragm and heart but not in the liver or spleen (at protein level). {ECO:0000269|PubMed:16794080}.; </t>
  </si>
  <si>
    <t xml:space="preserve">ovary;islets of Langerhans;parathyroid;choroid;fovea centralis;lens;retina;uterus;optic nerve;whole body;placenta;macula lutea;testis;</t>
  </si>
  <si>
    <t xml:space="preserve">pancreas;temporal lobe;ciliary ganglion;</t>
  </si>
  <si>
    <t xml:space="preserve">DSPP</t>
  </si>
  <si>
    <t xml:space="preserve">TISSUE SPECIFICITY: Expressed in teeth. DPP is synthesized by odontoblast and transiently expressed by pre-ameloblasts.; </t>
  </si>
  <si>
    <t xml:space="preserve">kidney;</t>
  </si>
  <si>
    <t xml:space="preserve">skeletal muscle;</t>
  </si>
  <si>
    <t xml:space="preserve">DTWD2</t>
  </si>
  <si>
    <t xml:space="preserve">unclassifiable (Anatomical System);ovary;salivary gland;pharynx;colon;blood;skeletal muscle;retina;breast;prostate;lung;visual apparatus;liver;testis;kidney;brain;bladder;stomach;</t>
  </si>
  <si>
    <t xml:space="preserve">DUSP15</t>
  </si>
  <si>
    <t xml:space="preserve">TISSUE SPECIFICITY: Highly expressed in testis. {ECO:0000269|PubMed:15138252}.; </t>
  </si>
  <si>
    <t xml:space="preserve">unclassifiable (Anatomical System);medulla oblongata;pancreas;lung;ovary;colon;testis;kidney;germinal center;brain;stomach;</t>
  </si>
  <si>
    <t xml:space="preserve">dorsal root ganglion;superior cervical ganglion;ciliary ganglion;atrioventricular node;trigeminal ganglion;parietal lobe;</t>
  </si>
  <si>
    <t xml:space="preserve">EIF2B4</t>
  </si>
  <si>
    <t xml:space="preserve">medulla oblongata;ovary;salivary gland;intestine;colon;parathyroid;skin;retina;uterus;prostate;optic nerve;endometrium;gum;bone;testis;germinal center;brain;bladder;unclassifiable (Anatomical System);cartilage;heart;lacrimal gland;islets of Langerhans;muscle;pharynx;blood;lens;skeletal muscle;breast;pancreas;lung;cornea;placenta;visual apparatus;hypopharynx;liver;spleen;head and neck;cervix;kidney;mammary gland;stomach;aorta;cerebellum;</t>
  </si>
  <si>
    <t xml:space="preserve">testis - interstitial;testis;skeletal muscle;</t>
  </si>
  <si>
    <t xml:space="preserve">EIF4ENIF1</t>
  </si>
  <si>
    <t xml:space="preserve">TISSUE SPECIFICITY: Widely expressed.; </t>
  </si>
  <si>
    <t xml:space="preserve">smooth muscle;ovary;sympathetic chain;colon;fovea centralis;choroid;skin;retina;uterus;prostate;optic nerve;whole body;frontal lobe;endometrium;larynx;bone;testis;germinal center;brain;unclassifiable (Anatomical System);heart;adrenal cortex;blood;lens;skeletal muscle;breast;lung;nasopharynx;placenta;macula lutea;liver;spleen;head and neck;kidney;mammary gland;stomach;</t>
  </si>
  <si>
    <t xml:space="preserve">ENPP1</t>
  </si>
  <si>
    <t xml:space="preserve">TISSUE SPECIFICITY: Expressed in plasma cells and also in a number of non-lymphoid tissues, including the distal convoluted tubule of the kidney, chondrocytes and epididymis. {ECO:0000269|PubMed:9344668}.; </t>
  </si>
  <si>
    <t xml:space="preserve">unclassifiable (Anatomical System);cartilage;heart;ovary;islets of Langerhans;colon;parathyroid;blood;skin;skeletal muscle;breast;uterus;whole body;lung;bone;placenta;liver;testis;spleen;kidney;brain;</t>
  </si>
  <si>
    <t xml:space="preserve">dorsal root ganglion;thyroid;ciliary ganglion;atrioventricular node;pons;skeletal muscle;</t>
  </si>
  <si>
    <t xml:space="preserve">EP300</t>
  </si>
  <si>
    <t xml:space="preserve">ovary;salivary gland;intestine;colon;parathyroid;skin;retina;bone marrow;uterus;prostate;atrium;whole body;frontal lobe;cerebral cortex;endometrium;larynx;thyroid;testis;amniotic fluid;germinal center;spinal ganglion;brain;bladder;unclassifiable (Anatomical System);lymph node;cartilage;heart;adrenal cortex;pharynx;blood;breast;lung;epididymis;nasopharynx;placenta;visual apparatus;duodenum;liver;spleen;head and neck;kidney;mammary gland;stomach;thymus;</t>
  </si>
  <si>
    <t xml:space="preserve">testis - interstitial;superior cervical ganglion;ciliary ganglion;pons;trigeminal ganglion;skeletal muscle;parietal lobe;</t>
  </si>
  <si>
    <t xml:space="preserve">EPHA6</t>
  </si>
  <si>
    <t xml:space="preserve">TISSUE SPECIFICITY: Expressed in brain and testis. {ECO:0000269|PubMed:14726470}.; </t>
  </si>
  <si>
    <t xml:space="preserve">ERBB2</t>
  </si>
  <si>
    <t xml:space="preserve">TISSUE SPECIFICITY: Expressed in a variety of tumor tissues including primary breast tumors and tumors from small bowel, esophagus, kidney and mouth. {ECO:0000269|PubMed:15380516}.; </t>
  </si>
  <si>
    <t xml:space="preserve">ovary;colon;parathyroid;fovea centralis;skin;retina;bone marrow;uterus;prostate;whole body;cerebral cortex;endometrium;larynx;bone;thyroid;testis;amniotic fluid;germinal center;spinal ganglion;ciliary body;brain;bladder;unclassifiable (Anatomical System);cartilage;heart;muscle;blood;skeletal muscle;breast;pancreas;lung;nasopharynx;placenta;macula lutea;visual apparatus;duodenum;liver;spleen;head and neck;cervix;kidney;mammary gland;stomach;peripheral nerve;</t>
  </si>
  <si>
    <t xml:space="preserve">superior cervical ganglion;placenta;globus pallidus;kidney;trigeminal ganglion;</t>
  </si>
  <si>
    <t xml:space="preserve">FAM104B</t>
  </si>
  <si>
    <t xml:space="preserve">breast;prostate;bone;liver;spleen;kidney;skin;</t>
  </si>
  <si>
    <t xml:space="preserve">dorsal root ganglion;superior cervical ganglion;ciliary ganglion;trigeminal ganglion;</t>
  </si>
  <si>
    <t xml:space="preserve">FAM122C</t>
  </si>
  <si>
    <t xml:space="preserve">FAM177A1</t>
  </si>
  <si>
    <t xml:space="preserve">smooth muscle;ovary;colon;substantia nigra;parathyroid;uterus;prostate;whole body;frontal lobe;endometrium;bone;testis;bladder;pineal gland;brain;unclassifiable (Anatomical System);lymph node;cartilage;islets of Langerhans;hypothalamus;blood;skeletal muscle;pancreas;lung;trabecular meshwork;placenta;liver;kidney;stomach;peripheral nerve;</t>
  </si>
  <si>
    <t xml:space="preserve">amygdala;whole brain;testis - interstitial;testis - seminiferous tubule;hypothalamus;prefrontal cortex;testis;cingulate cortex;</t>
  </si>
  <si>
    <t xml:space="preserve">FAM186B</t>
  </si>
  <si>
    <t xml:space="preserve">unclassifiable (Anatomical System);medulla oblongata;lung;testis;germinal center;brain;</t>
  </si>
  <si>
    <t xml:space="preserve">FAM193B</t>
  </si>
  <si>
    <t xml:space="preserve">TISSUE SPECIFICITY: Isoform 1 is up-regulated in both embryonal rhabdomyosarcoma and alveolar rhabdomyosarcoma cell lines. {ECO:0000269|PubMed:21177767}.; </t>
  </si>
  <si>
    <t xml:space="preserve">colon;fovea centralis;choroid;skin;retina;bone marrow;uterus;prostate;optic nerve;whole body;frontal lobe;endometrium;thyroid;bone;testis;spinal ganglion;brain;unclassifiable (Anatomical System);lymph node;heart;cartilage;islets of Langerhans;blood;lens;skeletal muscle;lung;epididymis;placenta;macula lutea;visual apparatus;hippocampus;liver;spleen;cervix;stomach;thymus;</t>
  </si>
  <si>
    <t xml:space="preserve">FAM65B</t>
  </si>
  <si>
    <t xml:space="preserve">TISSUE SPECIFICITY: Expressed in muscle. Isoform 1 is present in the brain. Isoform 2 is expressed during differentiation of fetal primary myoblasts. Also shows marked expression during cytotrophoblast differentiation. {ECO:0000269|PubMed:17150207, ECO:0000269|PubMed:24687993, ECO:0000269|PubMed:9055809}.; </t>
  </si>
  <si>
    <t xml:space="preserve">lymphoreticular;ovary;colon;parathyroid;skin;bone marrow;uterus;whole body;thyroid;testis;germinal center;brain;unclassifiable (Anatomical System);amygdala;lymph node;heart;cartilage;blood;skeletal muscle;pancreas;lung;nasopharynx;placenta;visual apparatus;liver;spleen;aorta;</t>
  </si>
  <si>
    <t xml:space="preserve">amygdala;dorsal root ganglion;superior cervical ganglion;ciliary ganglion;white blood cells;trigeminal ganglion;whole blood;</t>
  </si>
  <si>
    <t xml:space="preserve">FAM72A</t>
  </si>
  <si>
    <t xml:space="preserve">TISSUE SPECIFICITY: May be up-regulated in malignant colon cancers, compared to normal colon and colon adenomas. Expression is also elevated in other common cancer types, including breast, lung, uterus, and ovary. {ECO:0000269|PubMed:18676834}.; </t>
  </si>
  <si>
    <t xml:space="preserve">ovary;colon;skin;uterus;prostate;whole body;larynx;thyroid;bone;testis;germinal center;bladder;unclassifiable (Anatomical System);heart;cartilage;blood;skeletal muscle;breast;pancreas;lung;placenta;visual apparatus;duodenum;spleen;head and neck;mammary gland;stomach;</t>
  </si>
  <si>
    <t xml:space="preserve">FCGR3A</t>
  </si>
  <si>
    <t xml:space="preserve">TISSUE SPECIFICITY: Expressed on natural killer cells, macrophages, subpopulation of T-cells, immature thymocytes and placental trophoblasts.; </t>
  </si>
  <si>
    <t xml:space="preserve">FCRL5</t>
  </si>
  <si>
    <t xml:space="preserve">TISSUE SPECIFICITY: Expressed in marginal zone B-cells, immunoblasts, tonsillar germinal center centrocytes and in the intraepithelial and interfollicular regions of the tonsil. Expressed in many lymphoma cell lines and on hairy cell leukemia cells. Isoform 1, isoform 3, isoform 4 and isoform 5 are detected in lymph node, spleen, bone marrow, and small intestine with preponderance of isoform 3. Expressed in mature and memory B-cells and down-regulated in germinal center cells (at protein level). {ECO:0000269|PubMed:11290337, ECO:0000269|PubMed:11929751, ECO:0000269|PubMed:16849395}.; </t>
  </si>
  <si>
    <t xml:space="preserve">unclassifiable (Anatomical System);lymph node;tongue;adrenal cortex;colon;parathyroid;blood;skeletal muscle;uterus;pancreas;lung;adrenal gland;thyroid;testis;head and neck;germinal center;pineal gland;</t>
  </si>
  <si>
    <t xml:space="preserve">dorsal root ganglion;superior cervical ganglion;atrioventricular node;</t>
  </si>
  <si>
    <t xml:space="preserve">FHIT</t>
  </si>
  <si>
    <t xml:space="preserve">TISSUE SPECIFICITY: Low levels expressed in all tissues tested. Phospho-FHIT observed in liver and kidney, but not in brain and lung. Phospho-FHIT undetected in all tested human tumor cell lines.; </t>
  </si>
  <si>
    <t xml:space="preserve">unclassifiable (Anatomical System);liver;</t>
  </si>
  <si>
    <t xml:space="preserve">superior cervical ganglion;testis;globus pallidus;trigeminal ganglion;</t>
  </si>
  <si>
    <t xml:space="preserve">FOXH1</t>
  </si>
  <si>
    <t xml:space="preserve">TISSUE SPECIFICITY: Ubiquitous. {ECO:0000269|PubMed:9702198}.; </t>
  </si>
  <si>
    <t xml:space="preserve">unclassifiable (Anatomical System);trophoblast;ovary;</t>
  </si>
  <si>
    <t xml:space="preserve">superior cervical ganglion;ciliary ganglion;atrioventricular node;trigeminal ganglion;skeletal muscle;</t>
  </si>
  <si>
    <t xml:space="preserve">FPGT-TNNI3K</t>
  </si>
  <si>
    <t xml:space="preserve">1.84157554257575e-38</t>
  </si>
  <si>
    <t xml:space="preserve">FPGT-TNNI3K readthrough</t>
  </si>
  <si>
    <t xml:space="preserve">FUNCTION: May play a role in cardiac physiology. {ECO:0000303|PubMed:12721663}.; </t>
  </si>
  <si>
    <t xml:space="preserve">DISEASE: Cardiac conduction disease with or without dilated cardiomyopathy (CCDD) [MIM:616117]: A cardiac disorder characterized by atrial tachyarrhythmia and conduction system disease. Some patients have dilated cardiomyopathy. {ECO:0000269|PubMed:24925317}. Note=The disease is caused by mutations affecting the gene represented in this entry.; </t>
  </si>
  <si>
    <t xml:space="preserve">TISSUE SPECIFICITY: Highly expressed in both adult and fetal heart. {ECO:0000269|PubMed:12721663}.; </t>
  </si>
  <si>
    <t xml:space="preserve">unclassifiable (Anatomical System);uterus;lung;heart;liver;testis;kidney;skin;</t>
  </si>
  <si>
    <t xml:space="preserve">superior cervical ganglion;ciliary ganglion;atrioventricular node;trigeminal ganglion;</t>
  </si>
  <si>
    <t xml:space="preserve">FRMD1</t>
  </si>
  <si>
    <t xml:space="preserve">unclassifiable (Anatomical System);kidney;spinal ganglion;</t>
  </si>
  <si>
    <t xml:space="preserve">superior cervical ganglion;atrioventricular node;</t>
  </si>
  <si>
    <t xml:space="preserve">FRRS1</t>
  </si>
  <si>
    <t xml:space="preserve">ferric chelate reductase 1</t>
  </si>
  <si>
    <t xml:space="preserve">placenta;bladder;</t>
  </si>
  <si>
    <t xml:space="preserve">FUS</t>
  </si>
  <si>
    <t xml:space="preserve">TISSUE SPECIFICITY: Ubiquitous.; </t>
  </si>
  <si>
    <t xml:space="preserve">lymphoreticular;ovary;salivary gland;colon;skin;retina;bone marrow;uterus;prostate;whole body;frontal lobe;cerebral cortex;endometrium;larynx;bone;thyroid;testis;germinal center;brain;unclassifiable (Anatomical System);lymph node;tongue;islets of Langerhans;muscle;adrenal cortex;blood;lens;skeletal muscle;breast;bile duct;pancreas;lung;placenta;visual apparatus;duodenum;liver;spleen;head and neck;cervix;kidney;mammary gland;stomach;thymus;</t>
  </si>
  <si>
    <t xml:space="preserve">superior cervical ganglion;subthalamic nucleus;testis - interstitial;testis - seminiferous tubule;cerebellum peduncles;globus pallidus;testis;pons;trigeminal ganglion;cerebellum;</t>
  </si>
  <si>
    <t xml:space="preserve">G2E3</t>
  </si>
  <si>
    <t xml:space="preserve">TISSUE SPECIFICITY: Predominantly expressed in brain, liver, kidney, testes and ovary. {ECO:0000269|PubMed:10718198}.; </t>
  </si>
  <si>
    <t xml:space="preserve">ovary;salivary gland;colon;parathyroid;vein;skin;uterus;prostate;whole body;endometrium;bone;testis;germinal center;brain;pineal gland;bladder;unclassifiable (Anatomical System);lymph node;cartilage;heart;pharynx;blood;lens;skeletal muscle;breast;pancreas;lung;nasopharynx;placenta;visual apparatus;liver;spleen;kidney;mammary gland;stomach;</t>
  </si>
  <si>
    <t xml:space="preserve">testis - interstitial;testis - seminiferous tubule;testis;trigeminal ganglion;</t>
  </si>
  <si>
    <t xml:space="preserve">GAK</t>
  </si>
  <si>
    <t xml:space="preserve">TISSUE SPECIFICITY: Ubiquitous. Highest in testis.; </t>
  </si>
  <si>
    <t xml:space="preserve">lymphoreticular;ovary;salivary gland;colon;parathyroid;fovea centralis;skin;retina;bone marrow;uterus;prostate;optic nerve;whole body;frontal lobe;endometrium;bone;testis;germinal center;brain;bladder;unclassifiable (Anatomical System);lymph node;cartilage;heart;tongue;islets of Langerhans;adrenal cortex;blood;skeletal muscle;lung;placenta;macula lutea;visual apparatus;hippocampus;liver;head and neck;kidney;mammary gland;stomach;cerebellum;</t>
  </si>
  <si>
    <t xml:space="preserve">testis - interstitial;superior cervical ganglion;testis - seminiferous tubule;testis;</t>
  </si>
  <si>
    <t xml:space="preserve">GGN</t>
  </si>
  <si>
    <t xml:space="preserve">unclassifiable (Anatomical System);lung;testis;</t>
  </si>
  <si>
    <t xml:space="preserve">GGT1</t>
  </si>
  <si>
    <t xml:space="preserve">TISSUE SPECIFICITY: Detected in fetal and adult kidney and liver, adult pancreas, stomach, intestine, placenta and lung. Isoform 3 is lung-specific. There are several other tissue-specific forms that arise from alternative promoter usage but that produce the same protein.; </t>
  </si>
  <si>
    <t xml:space="preserve">unclassifiable (Anatomical System);cartilage;heart;tongue;colon;fovea centralis;choroid;lens;retina;breast;uterus;pancreas;prostate;optic nerve;lung;frontal lobe;macula lutea;liver;testis;head and neck;spleen;kidney;mammary gland;stomach;</t>
  </si>
  <si>
    <t xml:space="preserve">GGTLC2</t>
  </si>
  <si>
    <t xml:space="preserve">TISSUE SPECIFICITY: Placenta and sigmoid tissues.; </t>
  </si>
  <si>
    <t xml:space="preserve">GLDC</t>
  </si>
  <si>
    <t xml:space="preserve">GNA11</t>
  </si>
  <si>
    <t xml:space="preserve">TISSUE SPECIFICITY: Expressed in testis. {ECO:0000269|PubMed:18703424}.; </t>
  </si>
  <si>
    <t xml:space="preserve">ovary;salivary gland;intestine;colon;parathyroid;skin;retina;bone marrow;uterus;prostate;optic nerve;whole body;synovium;bone;thyroid;testis;amniotic fluid;brain;bladder;unclassifiable (Anatomical System);cartilage;heart;islets of Langerhans;pharynx;blood;bile duct;lung;cornea;placenta;visual apparatus;liver;kidney;mammary gland;stomach;cerebellum;thymus;</t>
  </si>
  <si>
    <t xml:space="preserve">amygdala;medulla oblongata;testis - interstitial;occipital lobe;superior cervical ganglion;cerebellum peduncles;pons;skeletal muscle;prostate;testis - seminiferous tubule;adrenal gland;thyroid;prefrontal cortex;globus pallidus;testis;cingulate cortex;cerebellum;</t>
  </si>
  <si>
    <t xml:space="preserve">GNAS</t>
  </si>
  <si>
    <t xml:space="preserve">lymphoreticular;smooth muscle;ovary;sympathetic chain;skin;retina;bone marrow;prostate;optic nerve;frontal lobe;cochlea;endometrium;thyroid;iris;amniotic fluid;germinal center;ciliary body;bladder;brain;gall bladder;cartilage;heart;tongue;pineal body;urinary;adrenal cortex;pharynx;blood;lens;skeletal muscle;greater omentum;breast;epididymis;trabecular meshwork;macula lutea;visual apparatus;liver;spleen;cervix;mammary gland;salivary gland;intestine;colon;parathyroid;fovea centralis;choroid;uterus;whole body;oesophagus;cerebral cortex;larynx;synovium;bone;pituitary gland;testis;spinal ganglion;unclassifiable (Anatomical System);lymph node;cerebellum cortex;islets of Langerhans;hypothalamus;muscle;pancreas;lung;adrenal gland;nasopharynx;placenta;hippocampus;amnion;head and neck;kidney;stomach;aorta;cerebellum;</t>
  </si>
  <si>
    <t xml:space="preserve">amygdala;whole brain;occipital lobe;testis - interstitial;thalamus;medulla oblongata;superior cervical ganglion;cerebellum peduncles;hypothalamus;beta cell islets;temporal lobe;spinal cord;pons;fetal thyroid;skeletal muscle;subthalamic nucleus;testis - seminiferous tubule;prefrontal cortex;globus pallidus;testis;trigeminal ganglion;cingulate cortex;pituitary;parietal lobe;cerebellum;</t>
  </si>
  <si>
    <t xml:space="preserve">GNMT</t>
  </si>
  <si>
    <t xml:space="preserve">TISSUE SPECIFICITY: Abundant in liver.; </t>
  </si>
  <si>
    <t xml:space="preserve">GNPTAB</t>
  </si>
  <si>
    <t xml:space="preserve">TISSUE SPECIFICITY: Expressed in the heart, whole brain, placenta, lung, liver, skeletal muscle, kidney and pancreas. {ECO:0000269|PubMed:16120602}.; </t>
  </si>
  <si>
    <t xml:space="preserve">ovary;salivary gland;sympathetic chain;intestine;colon;parathyroid;skin;bone marrow;uterus;prostate;whole body;frontal lobe;cerebral cortex;endometrium;larynx;bone;testis;brain;bladder;gall bladder;unclassifiable (Anatomical System);cartilage;heart;lacrimal gland;islets of Langerhans;spinal cord;pharynx;blood;skeletal muscle;breast;pancreas;lung;nasopharynx;placenta;liver;cervix;spleen;head and neck;kidney;mammary gland;aorta;stomach;</t>
  </si>
  <si>
    <t xml:space="preserve">amygdala;superior cervical ganglion;occipital lobe;fetal brain;prefrontal cortex;ciliary ganglion;pons;caudate nucleus;atrioventricular node;trigeminal ganglion;cingulate cortex;</t>
  </si>
  <si>
    <t xml:space="preserve">GRHL1</t>
  </si>
  <si>
    <t xml:space="preserve">TISSUE SPECIFICITY: Isoform 1 is highly expressed in brain, pancreas, tonsil, placenta and kidney. Isoform 2 is highly expressed in brain and liver. Expressed at very low levels in non- steroidogenic cells. {ECO:0000269|PubMed:10644752, ECO:0000269|PubMed:12175488}.; </t>
  </si>
  <si>
    <t xml:space="preserve">unclassifiable (Anatomical System);heart;ovary;colon;parathyroid;blood;skin;skeletal muscle;breast;uterus;prostate;whole body;lung;endometrium;thyroid;placenta;liver;testis;amniotic fluid;head and neck;brain;stomach;</t>
  </si>
  <si>
    <t xml:space="preserve">superior cervical ganglion;globus pallidus;ciliary ganglion;atrioventricular node;trigeminal ganglion;skin;</t>
  </si>
  <si>
    <t xml:space="preserve">GRM8</t>
  </si>
  <si>
    <t xml:space="preserve">unclassifiable (Anatomical System);lung;colon;mammary gland;brain;</t>
  </si>
  <si>
    <t xml:space="preserve">dorsal root ganglion;testis - interstitial;superior cervical ganglion;atrioventricular node;trigeminal ganglion;skeletal muscle;cingulate cortex;</t>
  </si>
  <si>
    <t xml:space="preserve">GTF2I</t>
  </si>
  <si>
    <t xml:space="preserve">TISSUE SPECIFICITY: Ubiquitous. Isoform 1 is strongly expressed in fetal brain, weakly in adult brain, muscle, and lymphoblasts and is almost undetectable in other adult tissues, while the other isoforms are equally expressed in all adult tissues.; </t>
  </si>
  <si>
    <t xml:space="preserve">lymphoreticular;ovary;colon;parathyroid;fovea centralis;skin;retina;bone marrow;uterus;prostate;whole body;frontal lobe;endometrium;larynx;thyroid;testis;amniotic fluid;germinal center;brain;bladder;unclassifiable (Anatomical System);lymph node;cartilage;heart;islets of Langerhans;hypothalamus;blood;skeletal muscle;breast;bile duct;lung;adrenal gland;nasopharynx;placenta;macula lutea;visual apparatus;hippocampus;liver;spleen;head and neck;cervix;kidney;mammary gland;stomach;</t>
  </si>
  <si>
    <t xml:space="preserve">amygdala;whole brain;thalamus;occipital lobe;medulla oblongata;hypothalamus;spinal cord;pons;subthalamic nucleus;prefrontal cortex;globus pallidus;ciliary ganglion;trigeminal ganglion;cingulate cortex;parietal lobe;cerebellum;</t>
  </si>
  <si>
    <t xml:space="preserve">GYG2</t>
  </si>
  <si>
    <t xml:space="preserve">TISSUE SPECIFICITY: Expressed preferentially in liver, heart, and pancreas.; </t>
  </si>
  <si>
    <t xml:space="preserve">unclassifiable (Anatomical System);lymph node;heart;muscle;developmental;colon;fovea centralis;choroid;lens;skeletal muscle;skin;retina;lung;whole body;optic nerve;bone;macula lutea;liver;testis;spleen;kidney;mammary gland;brain;stomach;</t>
  </si>
  <si>
    <t xml:space="preserve">dorsal root ganglion;fetal liver;superior cervical ganglion;adipose tissue;spinal cord;atrioventricular node;skeletal muscle;</t>
  </si>
  <si>
    <t xml:space="preserve">HIF1A</t>
  </si>
  <si>
    <t xml:space="preserve">TISSUE SPECIFICITY: Expressed in most tissues with highest levels in kidney and heart. Overexpressed in the majority of common human cancers and their metastases, due to the presence of intratumoral hypoxia and as a result of mutations in genes encoding oncoproteins and tumor suppressors. A higher level expression seen in pituitary tumors as compared to the pituitary gland. {ECO:0000269|PubMed:22009797}.; </t>
  </si>
  <si>
    <t xml:space="preserve">smooth muscle;ovary;skin;bone marrow;prostate;frontal lobe;cochlea;endometrium;thyroid;amniotic fluid;germinal center;bladder;brain;heart;cartilage;urinary;blood;skeletal muscle;breast;visual apparatus;macula lutea;liver;cervix;mammary gland;colon;parathyroid;fovea centralis;vein;uterus;whole body;oesophagus;larynx;bone;pituitary gland;testis;dura mater;pineal gland;unclassifiable (Anatomical System);meninges;lymph node;islets of Langerhans;hypothalamus;muscle;pancreas;pia mater;lung;mesenchyma;adrenal gland;nasopharynx;placenta;hypopharynx;head and neck;kidney;stomach;</t>
  </si>
  <si>
    <t xml:space="preserve">smooth muscle;adrenal cortex;fetal lung;</t>
  </si>
  <si>
    <t xml:space="preserve">HLA-DRB1</t>
  </si>
  <si>
    <t xml:space="preserve">ovary;salivary gland;sympathetic chain;intestine;colon;parathyroid;choroid;skin;retina;bone marrow;uterus;prostate;frontal lobe;endometrium;oesophagus;bone;thyroid;testis;germinal center;brain;bladder;unclassifiable (Anatomical System);lymph node;cartilage;tongue;hypothalamus;pharynx;blood;skeletal muscle;breast;pancreas;lung;adrenal gland;epididymis;nasopharynx;placenta;visual apparatus;hypopharynx;liver;spleen;head and neck;kidney;mammary gland;stomach;thymus;</t>
  </si>
  <si>
    <t xml:space="preserve">HLA-DRB6</t>
  </si>
  <si>
    <t xml:space="preserve">major histocompatibility complex, class II, DR beta 6 (pseudogene)</t>
  </si>
  <si>
    <t xml:space="preserve">HMGA2</t>
  </si>
  <si>
    <t xml:space="preserve">unclassifiable (Anatomical System);bile duct;prostate;bone;testis;colon;</t>
  </si>
  <si>
    <t xml:space="preserve">HNRNPD</t>
  </si>
  <si>
    <t xml:space="preserve">smooth muscle;ovary;skin;retina;bone marrow;prostate;optic nerve;frontal lobe;cochlea;endometrium;thyroid;germinal center;bladder;brain;gall bladder;tonsil;heart;cartilage;tongue;urinary;adrenal cortex;pharynx;blood;lens;skeletal muscle;breast;macula lutea;visual apparatus;liver;alveolus;spleen;cervix;mammary gland;salivary gland;intestine;colon;parathyroid;fovea centralis;choroid;vein;uterus;whole body;bone;pituitary gland;testis;pineal gland;unclassifiable (Anatomical System);lymph node;islets of Langerhans;muscle;bile duct;pancreas;lung;cornea;adrenal gland;nasopharynx;placenta;hippocampus;hypopharynx;duodenum;head and neck;kidney;stomach;thymus;</t>
  </si>
  <si>
    <t xml:space="preserve">dorsal root ganglion;superior cervical ganglion;salivary gland;globus pallidus;white blood cells;ciliary ganglion;skin;</t>
  </si>
  <si>
    <t xml:space="preserve">HSD3B2</t>
  </si>
  <si>
    <t xml:space="preserve">TISSUE SPECIFICITY: Expressed in adrenal gland, testis and ovary.; </t>
  </si>
  <si>
    <t xml:space="preserve">HSPB6</t>
  </si>
  <si>
    <t xml:space="preserve">myocardium;smooth muscle;ovary;colon;fovea centralis;choroid;skin;retina;bone marrow;uterus;prostate;optic nerve;cerebral cortex;endometrium;larynx;thyroid;bone;testis;brain;pineal gland;unclassifiable (Anatomical System);heart;cartilage;islets of Langerhans;lens;skeletal muscle;pancreas;lung;epididymis;trabecular meshwork;placenta;macula lutea;visual apparatus;spleen;head and neck;kidney;mammary gland;stomach;</t>
  </si>
  <si>
    <t xml:space="preserve">heart;atrioventricular node;skeletal muscle;</t>
  </si>
  <si>
    <t xml:space="preserve">HTT</t>
  </si>
  <si>
    <t xml:space="preserve">TISSUE SPECIFICITY: Expressed in the brain cortex (at protein level). Widely expressed with the highest level of expression in the brain (nerve fibers, varicosities, and nerve endings). In the brain, the regions where it can be mainly found are the cerebellar cortex, the neocortex, the striatum, and the hippocampal formation. {ECO:0000269|PubMed:16391387}.; </t>
  </si>
  <si>
    <t xml:space="preserve">ovary;salivary gland;colon;parathyroid;fovea centralis;choroid;skin;retina;bone marrow;uterus;prostate;optic nerve;frontal lobe;endometrium;larynx;bone;thyroid;iris;testis;germinal center;brain;pineal gland;bladder;unclassifiable (Anatomical System);lymph node;cartilage;tongue;hypothalamus;blood;lens;skeletal muscle;breast;pancreas;lung;placenta;macula lutea;visual apparatus;liver;spleen;head and neck;cervix;kidney;mammary gland;stomach;thymus;</t>
  </si>
  <si>
    <t xml:space="preserve">superior cervical ganglion;subthalamic nucleus;medulla oblongata;cerebellum peduncles;temporal lobe;prefrontal cortex;ciliary ganglion;pons;skeletal muscle;parietal lobe;cingulate cortex;</t>
  </si>
  <si>
    <t xml:space="preserve">HYDIN</t>
  </si>
  <si>
    <t xml:space="preserve">unclassifiable (Anatomical System);lung;ovary;islets of Langerhans;thyroid;muscle;testis;kidney;brain;skeletal muscle;retina;</t>
  </si>
  <si>
    <t xml:space="preserve">dorsal root ganglion;subthalamic nucleus;superior cervical ganglion;cerebellum peduncles;globus pallidus;ciliary ganglion;atrioventricular node;trigeminal ganglion;skeletal muscle;parietal lobe;</t>
  </si>
  <si>
    <t xml:space="preserve">ICAM4</t>
  </si>
  <si>
    <t xml:space="preserve">TISSUE SPECIFICITY: Erythrocytes.; </t>
  </si>
  <si>
    <t xml:space="preserve">unclassifiable (Anatomical System);lung;colon;brain;</t>
  </si>
  <si>
    <t xml:space="preserve">IFT122</t>
  </si>
  <si>
    <t xml:space="preserve">TISSUE SPECIFICITY: Expressed in many tissues. Predominant expression in testis and pituitary. {ECO:0000269|PubMed:11242542}.; </t>
  </si>
  <si>
    <t xml:space="preserve">smooth muscle;ovary;colon;parathyroid;skin;uterus;prostate;whole body;endometrium;thyroid;bone;iris;testis;amniotic fluid;germinal center;brain;unclassifiable (Anatomical System);heart;islets of Langerhans;pineal body;muscle;blood;lens;lung;placenta;visual apparatus;hippocampus;liver;cervix;spleen;kidney;mammary gland;stomach;</t>
  </si>
  <si>
    <t xml:space="preserve">dorsal root ganglion;testis - interstitial;testis - seminiferous tubule;testis;ciliary ganglion;atrioventricular node;</t>
  </si>
  <si>
    <t xml:space="preserve">IFT88</t>
  </si>
  <si>
    <t xml:space="preserve">TISSUE SPECIFICITY: Expressed in the heart, brain, liver, lung, kidney, skeletal muscle and pancreas. {ECO:0000269|PubMed:7633404}.; </t>
  </si>
  <si>
    <t xml:space="preserve">ovary;parathyroid;skin;retina;uterus;prostate;whole body;endometrium;thyroid;testis;germinal center;pineal gland;brain;unclassifiable (Anatomical System);heart;adrenal cortex;blood;lens;skeletal muscle;breast;pancreas;lung;adrenal gland;placenta;kidney;</t>
  </si>
  <si>
    <t xml:space="preserve">dorsal root ganglion;testis - interstitial;superior cervical ganglion;testis - seminiferous tubule;testis;ciliary ganglion;atrioventricular node;pons;trigeminal ganglion;skeletal muscle;</t>
  </si>
  <si>
    <t xml:space="preserve">IGF1</t>
  </si>
  <si>
    <t xml:space="preserve">ovary;colon;parathyroid;skin;retina;uterus;prostate;whole body;cochlea;endometrium;bone;testis;artery;unclassifiable (Anatomical System);lymph node;cartilage;heart;islets of Langerhans;hypothalamus;blood;skeletal muscle;breast;pancreas;lung;adrenal gland;internal ear;placenta;visual apparatus;liver;spleen;head and neck;kidney;mammary gland;stomach;aorta;peripheral nerve;</t>
  </si>
  <si>
    <t xml:space="preserve">dorsal root ganglion;uterus;superior cervical ganglion;testis - interstitial;uterus corpus;adipose tissue;liver;testis;ciliary ganglion;atrioventricular node;skeletal muscle;</t>
  </si>
  <si>
    <t xml:space="preserve">IGF1R</t>
  </si>
  <si>
    <t xml:space="preserve">TISSUE SPECIFICITY: Found as a hybrid receptor with INSR in muscle, heart, kidney, adipose tissue, skeletal muscle, hepatoma, fibroblasts, spleen and placenta (at protein level). Expressed in a variety of tissues. Overexpressed in tumors, including melanomas, cancers of the colon, pancreas prostate and kidney. {ECO:0000269|PubMed:12019176, ECO:0000269|PubMed:8247543, ECO:0000269|PubMed:9202395, ECO:0000269|PubMed:9355755}.; </t>
  </si>
  <si>
    <t xml:space="preserve">ovary;colon;parathyroid;fovea centralis;choroid;skin;retina;uterus;optic nerve;frontal lobe;larynx;thyroid;bone;testis;brain;unclassifiable (Anatomical System);heart;islets of Langerhans;muscle;lens;skeletal muscle;bile duct;breast;pancreas;lung;epididymis;adrenal gland;placenta;macula lutea;liver;head and neck;kidney;mammary gland;</t>
  </si>
  <si>
    <t xml:space="preserve">superior cervical ganglion;prostate;prefrontal cortex;</t>
  </si>
  <si>
    <t xml:space="preserve">IGFN1</t>
  </si>
  <si>
    <t xml:space="preserve">TISSUE SPECIFICITY: Expressed in skeletal muscle. {ECO:0000269|PubMed:15385448}.; </t>
  </si>
  <si>
    <t xml:space="preserve">unclassifiable (Anatomical System);fovea centralis;choroid;lens;skeletal muscle;retina;optic nerve;whole body;larynx;thyroid;macula lutea;alveolus;liver;head and neck;spleen;kidney;</t>
  </si>
  <si>
    <t xml:space="preserve">IGSF3</t>
  </si>
  <si>
    <t xml:space="preserve">TISSUE SPECIFICITY: Expressed in a wide range of tissues with High expression in Placenta, kidney and lung. {ECO:0000269|PubMed:9790749}.; </t>
  </si>
  <si>
    <t xml:space="preserve">unclassifiable (Anatomical System);skeletal muscle;skin;retina;whole body;lung;placenta;thyroid;bone;hypopharynx;head and neck;kidney;brain;mammary gland;stomach;</t>
  </si>
  <si>
    <t xml:space="preserve">superior cervical ganglion;fetal brain;placenta;ciliary ganglion;skeletal muscle;</t>
  </si>
  <si>
    <t xml:space="preserve">IL1RAP</t>
  </si>
  <si>
    <t xml:space="preserve">TISSUE SPECIFICITY: Detected in liver, skin, placenta, thymus and lung. {ECO:0000269|PubMed:12530978}.; </t>
  </si>
  <si>
    <t xml:space="preserve">unclassifiable (Anatomical System);lymph node;heart;colon;blood;skin;bone marrow;uterus;prostate;whole body;lung;frontal lobe;thyroid;placenta;liver;head and neck;spleen;brain;mammary gland;bladder;stomach;gall bladder;</t>
  </si>
  <si>
    <t xml:space="preserve">superior cervical ganglion;subthalamic nucleus;fetal liver;globus pallidus;ciliary ganglion;pons;trigeminal ganglion;skeletal muscle;</t>
  </si>
  <si>
    <t xml:space="preserve">IRAIN</t>
  </si>
  <si>
    <t xml:space="preserve">IGF1R antisense imprinted non-protein coding RNA</t>
  </si>
  <si>
    <t xml:space="preserve">ISPD</t>
  </si>
  <si>
    <t xml:space="preserve">TISSUE SPECIFICITY: Ubiquitously expressed, with high expression in brain. {ECO:0000269|PubMed:22522420}.; </t>
  </si>
  <si>
    <t xml:space="preserve">ITGB1BP1</t>
  </si>
  <si>
    <t xml:space="preserve">TISSUE SPECIFICITY: Expressed in endothelial cells and fibroblasts (at protein level). Ubiquitously expressed. Expressed in intestine, colon, testis, ovary, thymus, spleen and prostate. {ECO:0000269|PubMed:9281591, ECO:0000269|PubMed:9867804}.; </t>
  </si>
  <si>
    <t xml:space="preserve">ovary;salivary gland;developmental;intestine;colon;parathyroid;fovea centralis;choroid;skin;retina;uterus;prostate;optic nerve;whole body;endometrium;larynx;bone;iris;pituitary gland;testis;germinal center;brain;bladder;unclassifiable (Anatomical System);lymph node;cartilage;heart;cerebellum cortex;islets of Langerhans;hypothalamus;pharynx;blood;lens;skeletal muscle;bile duct;pancreas;lung;placenta;macula lutea;visual apparatus;alveolus;liver;kidney;mammary gland;aorta;stomach;</t>
  </si>
  <si>
    <t xml:space="preserve">dorsal root ganglion;whole brain;amygdala;medulla oblongata;superior cervical ganglion;occipital lobe;thalamus;temporal lobe;caudate nucleus;atrioventricular node;pons;subthalamic nucleus;ciliary ganglion;trigeminal ganglion;parietal lobe;cingulate cortex;</t>
  </si>
  <si>
    <t xml:space="preserve">JAK2</t>
  </si>
  <si>
    <t xml:space="preserve">TISSUE SPECIFICITY: Ubiquitously expressed throughout most tissues. {ECO:0000269|PubMed:16424865}.; </t>
  </si>
  <si>
    <t xml:space="preserve">KCTD1</t>
  </si>
  <si>
    <t xml:space="preserve">TISSUE SPECIFICITY: Expressed in mammary gland, kidney, brain and ovary. {ECO:0000269|PubMed:18358072}.; </t>
  </si>
  <si>
    <t xml:space="preserve">ovary;parathyroid;fovea centralis;choroid;skin;retina;uterus;optic nerve;whole body;endometrium;cerebral cortex;larynx;thyroid;bone;testis;germinal center;brain;unclassifiable (Anatomical System);heart;islets of Langerhans;lens;pancreas;lung;placenta;macula lutea;hippocampus;cervix;head and neck;kidney;mammary gland;</t>
  </si>
  <si>
    <t xml:space="preserve">amygdala;whole brain;medulla oblongata;subthalamic nucleus;occipital lobe;placenta;temporal lobe;prefrontal cortex;caudate nucleus;cingulate cortex;parietal lobe;</t>
  </si>
  <si>
    <t xml:space="preserve">TISSUE SPECIFICITY: Detected in adult brain cortex and fetal frontal lobe (at protein level). Highly expressed in brain cortex, putamen, amygdala, hippocampus and cerebellum. {ECO:0000269|PubMed:12834540, ECO:0000269|PubMed:17846832}.; </t>
  </si>
  <si>
    <t xml:space="preserve">lymphoreticular;umbilical cord;sympathetic chain;colon;skin;retina;bone marrow;uterus;prostate;frontal lobe;endometrium;larynx;bone;thyroid;pituitary gland;testis;germinal center;brain;tonsil;unclassifiable (Anatomical System);lymph node;cartilage;heart;cerebellum cortex;tongue;islets of Langerhans;hypothalamus;blood;lens;skeletal muscle;breast;bile duct;lung;placenta;visual apparatus;alveolus;liver;spleen;head and neck;cervix;kidney;mammary gland;stomach;thymus;</t>
  </si>
  <si>
    <t xml:space="preserve">subthalamic nucleus;occipital lobe;hypothalamus;prefrontal cortex;globus pallidus;</t>
  </si>
  <si>
    <t xml:space="preserve">medulla oblongata;ovary;colon;parathyroid;fovea centralis;choroid;skin;retina;bone marrow;uterus;prostate;optic nerve;whole body;oesophagus;endometrium;larynx;bone;thyroid;testis;brain;bladder;unclassifiable (Anatomical System);lymph node;heart;lens;breast;bile duct;pancreas;lung;placenta;macula lutea;visual apparatus;hippocampus;amnion;hypopharynx;liver;spleen;head and neck;cervix;kidney;mammary gland;stomach;aorta;peripheral nerve;</t>
  </si>
  <si>
    <t xml:space="preserve">unclassifiable (Anatomical System);prostate;pancreas;optic nerve;cartilage;heart;cerebral cortex;endometrium;iris;brain;retina;cerebellum;</t>
  </si>
  <si>
    <t xml:space="preserve">KIR2DL1</t>
  </si>
  <si>
    <t xml:space="preserve">0.184502116558515</t>
  </si>
  <si>
    <t xml:space="preserve">killer cell immunoglobulin like receptor, two Ig domains and long cytoplasmic tail 1</t>
  </si>
  <si>
    <t xml:space="preserve">FUNCTION: Receptor on natural killer (NK) cells for HLA-C alleles. Inhibits the activity of NK cells thus preventing cell lysis. {ECO:0000269|PubMed:18604210}.; </t>
  </si>
  <si>
    <t xml:space="preserve">breast;unclassifiable (Anatomical System);blood;</t>
  </si>
  <si>
    <t xml:space="preserve">KIR2DL3</t>
  </si>
  <si>
    <t xml:space="preserve">0.0380264991528057</t>
  </si>
  <si>
    <t xml:space="preserve">killer cell immunoglobulin like receptor, two Ig domains and long cytoplasmic tail 3</t>
  </si>
  <si>
    <t xml:space="preserve">FUNCTION: Receptor on natural killer (NK) cells for HLA-C alleles (HLA-Cw1, HLA-Cw3 and HLA-Cw7). Inhibits the activity of NK cells thus preventing cell lysis.; </t>
  </si>
  <si>
    <t xml:space="preserve">KIR2DL4</t>
  </si>
  <si>
    <t xml:space="preserve">KIR2DS4</t>
  </si>
  <si>
    <t xml:space="preserve">killer cell immunoglobulin like receptor, two Ig domains and short cytoplasmic tail 4</t>
  </si>
  <si>
    <t xml:space="preserve">FUNCTION: Receptor on natural killer (NK) cells for HLA-C alleles. Does not inhibit the activity of NK cells. {ECO:0000269|PubMed:19858347}.; </t>
  </si>
  <si>
    <t xml:space="preserve">breast;blood;</t>
  </si>
  <si>
    <t xml:space="preserve">subthalamic nucleus;superior cervical ganglion;globus pallidus;atrioventricular node;trigeminal ganglion;skeletal muscle;</t>
  </si>
  <si>
    <t xml:space="preserve">KIR3DL1</t>
  </si>
  <si>
    <t xml:space="preserve">killer cell immunoglobulin like receptor, three Ig domains and long cytoplasmic tail 1</t>
  </si>
  <si>
    <t xml:space="preserve">FUNCTION: Receptor on natural killer (NK) cells for HLA Bw4 allele. Inhibits the activity of NK cells thus preventing cell lysis. {ECO:0000269|PubMed:22020283}.; </t>
  </si>
  <si>
    <t xml:space="preserve">unclassifiable (Anatomical System);skeletal muscle;</t>
  </si>
  <si>
    <t xml:space="preserve">superior cervical ganglion;ciliary ganglion;skeletal muscle;</t>
  </si>
  <si>
    <t xml:space="preserve">KIR3DL2</t>
  </si>
  <si>
    <t xml:space="preserve">0.221236755494515</t>
  </si>
  <si>
    <t xml:space="preserve">killer cell immunoglobulin like receptor, three Ig domains and long cytoplasmic tail 2</t>
  </si>
  <si>
    <t xml:space="preserve">FUNCTION: Receptor on natural killer (NK) cells for HLA-A alleles. Inhibits the activity of NK cells thus preventing cell lysis.; </t>
  </si>
  <si>
    <t xml:space="preserve">unclassifiable (Anatomical System);</t>
  </si>
  <si>
    <t xml:space="preserve">KIZ</t>
  </si>
  <si>
    <t xml:space="preserve">KMT2C</t>
  </si>
  <si>
    <t xml:space="preserve">TISSUE SPECIFICITY: Highly expressed in testis and ovary, followed by brain and liver. Also expressed in placenta, peripherical blood, fetal thymus, heart, lung and kidney. Within brain, expression was highest in hippocampus, caudate nucleus, and substantia nigra. Not detected in skeletal muscle and fetal liver.; </t>
  </si>
  <si>
    <t xml:space="preserve">KPNA1</t>
  </si>
  <si>
    <t xml:space="preserve">TISSUE SPECIFICITY: Expressed ubiquitously.; </t>
  </si>
  <si>
    <t xml:space="preserve">ovary;colon;parathyroid;fovea centralis;choroid;skin;retina;bone marrow;uterus;prostate;optic nerve;frontal lobe;larynx;bone;thyroid;iris;testis;dura mater;germinal center;brain;pineal gland;unclassifiable (Anatomical System);meninges;tongue;islets of Langerhans;hypothalamus;urinary;blood;lens;skeletal muscle;breast;pancreas;pia mater;lung;placenta;macula lutea;visual apparatus;liver;hypopharynx;spleen;head and neck;cervix;mammary gland;stomach;</t>
  </si>
  <si>
    <t xml:space="preserve">dorsal root ganglion;superior cervical ganglion;testis - interstitial;pons;atrioventricular node;skeletal muscle;subthalamic nucleus;fetal brain;testis - seminiferous tubule;globus pallidus;testis;ciliary ganglion;trigeminal ganglion;</t>
  </si>
  <si>
    <t xml:space="preserve">KRTAP10-3</t>
  </si>
  <si>
    <t xml:space="preserve">TISSUE SPECIFICITY: Restricted to a narrow region of the hair fiber cuticle, lying approximately 20 cell layers above the apex of the dermal papilla of the hair root; not detected in any other tissues. {ECO:0000269|PubMed:14962103, ECO:0000269|PubMed:15028290}.; </t>
  </si>
  <si>
    <t xml:space="preserve">KRTAP19-7</t>
  </si>
  <si>
    <t xml:space="preserve">LAMB4</t>
  </si>
  <si>
    <t xml:space="preserve">unclassifiable (Anatomical System);uterus;heart;skin;</t>
  </si>
  <si>
    <t xml:space="preserve">dorsal root ganglion;superior cervical ganglion;ciliary ganglion;atrioventricular node;skin;</t>
  </si>
  <si>
    <t xml:space="preserve">LINC00935</t>
  </si>
  <si>
    <t xml:space="preserve">LMBR1</t>
  </si>
  <si>
    <t xml:space="preserve">TISSUE SPECIFICITY: Widely expressed with strongest expression in heart and pancreas. {ECO:0000269|PubMed:10329000}.; </t>
  </si>
  <si>
    <t xml:space="preserve">ovary;sympathetic chain;colon;parathyroid;fovea centralis;choroid;vein;skin;retina;bone marrow;uterus;prostate;optic nerve;whole body;frontal lobe;endometrium;bone;thyroid;testis;germinal center;brain;unclassifiable (Anatomical System);lymph node;cartilage;heart;islets of Langerhans;hypothalamus;adrenal cortex;pharynx;lens;breast;bile duct;pancreas;lung;epididymis;placenta;macula lutea;visual apparatus;hippocampus;hypopharynx;duodenum;liver;spleen;head and neck;kidney;aorta;stomach;</t>
  </si>
  <si>
    <t xml:space="preserve">superior cervical ganglion;subthalamic nucleus;globus pallidus;ciliary ganglion;atrioventricular node;trigeminal ganglion;skin;skeletal muscle;</t>
  </si>
  <si>
    <t xml:space="preserve">LMNB2</t>
  </si>
  <si>
    <t xml:space="preserve">lymphoreticular;ovary;skin;bone marrow;retina;prostate;optic nerve;endometrium;germinal center;bladder;brain;heart;cartilage;tongue;adrenal cortex;pharynx;blood;lens;skeletal muscle;breast;epididymis;visual apparatus;macula lutea;liver;alveolus;spleen;cervix;mammary gland;peripheral nerve;salivary gland;colon;parathyroid;choroid;fovea centralis;uterus;whole body;bone;testis;unclassifiable (Anatomical System);lymph node;islets of Langerhans;muscle;bile duct;pancreas;lung;placenta;head and neck;kidney;stomach;thymus;cerebellum;</t>
  </si>
  <si>
    <t xml:space="preserve">tumor;cerebellum;</t>
  </si>
  <si>
    <t xml:space="preserve">LPIN2</t>
  </si>
  <si>
    <t xml:space="preserve">TISSUE SPECIFICITY: Expressed in liver, lung, kidney, placenta, spleen, thymus, lymph node, prostate, testes, small intestine, and colon. {ECO:0000269|PubMed:15994876, ECO:0000269|PubMed:17158099}.; </t>
  </si>
  <si>
    <t xml:space="preserve">smooth muscle;ovary;salivary gland;sympathetic chain;intestine;colon;parathyroid;fovea centralis;choroid;skin;retina;bone marrow;uterus;prostate;optic nerve;whole body;frontal lobe;cerebral cortex;endometrium;bone;thyroid;pituitary gland;testis;germinal center;spinal ganglion;brain;pineal gland;bladder;unclassifiable (Anatomical System);trophoblast;cartilage;heart;islets of Langerhans;pharynx;blood;lens;skeletal muscle;lung;nasopharynx;placenta;macula lutea;visual apparatus;liver;spleen;kidney;stomach;aorta;</t>
  </si>
  <si>
    <t xml:space="preserve">superior cervical ganglion;fetal liver;</t>
  </si>
  <si>
    <t xml:space="preserve">LYZ</t>
  </si>
  <si>
    <t xml:space="preserve">lymphoreticular;ovary;salivary gland;intestine;colon;parathyroid;skin;bone marrow;prostate;larynx;thyroid;brain;pineal gland;bladder;gall bladder;unclassifiable (Anatomical System);heart;small intestine;lacrimal gland;islets of Langerhans;adrenal cortex;pharynx;blood;skeletal muscle;breast;pancreas;lung;adrenal gland;nasopharynx;placenta;visual apparatus;liver;spleen;head and neck;kidney;stomach;</t>
  </si>
  <si>
    <t xml:space="preserve">lymph node;trachea;salivary gland;thyroid;white blood cells;whole blood;tonsil;bone marrow;thymus;</t>
  </si>
  <si>
    <t xml:space="preserve">MALT1</t>
  </si>
  <si>
    <t xml:space="preserve">TISSUE SPECIFICITY: Highly expressed in peripheral blood mononuclear cells. Detected at lower levels in bone marrow, thymus and lymph node, and at very low levels in colon and lung.; </t>
  </si>
  <si>
    <t xml:space="preserve">unclassifiable (Anatomical System);cartilage;islets of Langerhans;urinary;colon;skeletal muscle;breast;bile duct;prostate;pancreas;lung;endometrium;bone;placenta;visual apparatus;liver;testis;spleen;germinal center;kidney;mammary gland;artery;aorta;peripheral nerve;</t>
  </si>
  <si>
    <t xml:space="preserve">dorsal root ganglion;superior cervical ganglion;testis - interstitial;testis - seminiferous tubule;testis;tumor;white blood cells;ciliary ganglion;atrioventricular node;tonsil;skeletal muscle;</t>
  </si>
  <si>
    <t xml:space="preserve">MAP3K1</t>
  </si>
  <si>
    <t xml:space="preserve">MAPKAP1</t>
  </si>
  <si>
    <t xml:space="preserve">TISSUE SPECIFICITY: Ubiquitously expressed, with highest levels in heart and skeletal muscle. {ECO:0000269|PubMed:15988011}.; </t>
  </si>
  <si>
    <t xml:space="preserve">ovary;colon;parathyroid;fovea centralis;choroid;skin;retina;uterus;prostate;optic nerve;whole body;endometrium;synovium;bone;thyroid;testis;germinal center;brain;unclassifiable (Anatomical System);lymph node;cartilage;heart;tongue;islets of Langerhans;hypothalamus;muscle;blood;lens;skeletal muscle;bile duct;breast;pancreas;lung;adrenal gland;placenta;macula lutea;visual apparatus;hippocampus;liver;spleen;head and neck;cervix;kidney;mammary gland;stomach;peripheral nerve;</t>
  </si>
  <si>
    <t xml:space="preserve">testis - interstitial;testis - seminiferous tubule;testis;kidney;pons;atrioventricular node;</t>
  </si>
  <si>
    <t xml:space="preserve">MARK1</t>
  </si>
  <si>
    <t xml:space="preserve">TISSUE SPECIFICITY: Highly expressed in heart, skeletal muscle, brain, fetal brain and fetal kidney. {ECO:0000269|PubMed:9108484}.; </t>
  </si>
  <si>
    <t xml:space="preserve">MC1R</t>
  </si>
  <si>
    <t xml:space="preserve">TISSUE SPECIFICITY: Melanocytes and corticoadrenal tissue.; </t>
  </si>
  <si>
    <t xml:space="preserve">MEF2C</t>
  </si>
  <si>
    <t xml:space="preserve">TISSUE SPECIFICITY: Expressed in brain and skeletal muscle. {ECO:0000269|PubMed:9798649}.; </t>
  </si>
  <si>
    <t xml:space="preserve">myocardium;smooth muscle;ovary;salivary gland;intestine;colon;parathyroid;fovea centralis;choroid;skin;retina;uterus;prostate;optic nerve;frontal lobe;cochlea;endometrium;larynx;testis;germinal center;brain;bladder;unclassifiable (Anatomical System);amygdala;lymph node;cartilage;heart;tongue;hypothalamus;pharynx;blood;lens;skeletal muscle;breast;pancreas;lung;nasopharynx;placenta;macula lutea;visual apparatus;liver;spleen;head and neck;kidney;stomach;peripheral nerve;</t>
  </si>
  <si>
    <t xml:space="preserve">whole brain;amygdala;medulla oblongata;occipital lobe;temporal lobe;atrioventricular node;pons;skeletal muscle;subthalamic nucleus;fetal brain;prefrontal cortex;globus pallidus;cingulate cortex;parietal lobe;</t>
  </si>
  <si>
    <t xml:space="preserve">MIR3163</t>
  </si>
  <si>
    <t xml:space="preserve">microRNA 3163</t>
  </si>
  <si>
    <t xml:space="preserve">MIR548N</t>
  </si>
  <si>
    <t xml:space="preserve">microRNA 548n</t>
  </si>
  <si>
    <t xml:space="preserve">MMP8</t>
  </si>
  <si>
    <t xml:space="preserve">TISSUE SPECIFICITY: Neutrophils.; </t>
  </si>
  <si>
    <t xml:space="preserve">unclassifiable (Anatomical System);liver;blood;skin;bone marrow;</t>
  </si>
  <si>
    <t xml:space="preserve">dorsal root ganglion;superior cervical ganglion;bone marrow;</t>
  </si>
  <si>
    <t xml:space="preserve">MOGAT1</t>
  </si>
  <si>
    <t xml:space="preserve">MORC3</t>
  </si>
  <si>
    <t xml:space="preserve">TISSUE SPECIFICITY: Expressed in heart, placenta, skeletal muscle, brain, pancreas, lung, liver, but not kidney. {ECO:0000269|PubMed:11927593}.; </t>
  </si>
  <si>
    <t xml:space="preserve">MTBP</t>
  </si>
  <si>
    <t xml:space="preserve">unclassifiable (Anatomical System);whole body;frontal lobe;tongue;adrenal gland;bone;thyroid;placenta;liver;testis;head and neck;brain;skeletal muscle;thymus;</t>
  </si>
  <si>
    <t xml:space="preserve">MTCH2</t>
  </si>
  <si>
    <t xml:space="preserve">medulla oblongata;ovary;sympathetic chain;skin;bone marrow;retina;prostate;optic nerve;frontal lobe;endometrium;thyroid;bladder;brain;tonsil;heart;cartilage;urinary;adrenal cortex;pharynx;blood;lens;breast;macula lutea;visual apparatus;liver;spleen;cervix;mammary gland;salivary gland;intestine;colon;parathyroid;fovea centralis;choroid;uterus;whole body;cerebral cortex;bone;testis;unclassifiable (Anatomical System);cerebellum cortex;islets of Langerhans;hypothalamus;pancreas;lung;mesenchyma;nasopharynx;placenta;hippocampus;hypopharynx;head and neck;kidney;stomach;</t>
  </si>
  <si>
    <t xml:space="preserve">testis - interstitial;testis - seminiferous tubule;liver;testis;kidney;</t>
  </si>
  <si>
    <t xml:space="preserve">MTTP</t>
  </si>
  <si>
    <t xml:space="preserve">TISSUE SPECIFICITY: Liver and small intestine. Also found in ovary, testis and kidney. {ECO:0000269|PubMed:7961826}.; </t>
  </si>
  <si>
    <t xml:space="preserve">unclassifiable (Anatomical System);small intestine;colon;fovea centralis;skeletal muscle;prostate;macula lutea;liver;testis;spleen;kidney;artery;brain;aorta;</t>
  </si>
  <si>
    <t xml:space="preserve">ciliary ganglion;trigeminal ganglion;skeletal muscle;</t>
  </si>
  <si>
    <t xml:space="preserve">MUC16</t>
  </si>
  <si>
    <t xml:space="preserve">TISSUE SPECIFICITY: Expressed in corneal and conjunctival epithelia (at protein level). Overexpressed in ovarian carcinomas and ovarian low malignant potential (LMP) tumors as compared to the expression in normal ovarian tissue and ovarian adenomas. {ECO:0000269|PubMed:11369781, ECO:0000269|PubMed:12218296, ECO:0000269|PubMed:16384952}.; </t>
  </si>
  <si>
    <t xml:space="preserve">MYCBP2</t>
  </si>
  <si>
    <t xml:space="preserve">TISSUE SPECIFICITY: Expressed in all tissues examined, expression is exceptionally abundant in brain and thymus. Colocalizes with TSC1 and TSC2 along the neurites and in the growth cones. Colocalized with TSC1 in one of the filopodial extensions at the tip of a growth cone. {ECO:0000269|PubMed:9689053}.; </t>
  </si>
  <si>
    <t xml:space="preserve">myocardium;ovary;sympathetic chain;skin;retina;bone marrow;prostate;frontal lobe;endometrium;thyroid;germinal center;bladder;brain;gall bladder;tonsil;heart;cartilage;urinary;pharynx;blood;skeletal muscle;breast;macula lutea;visual apparatus;liver;spleen;mammary gland;salivary gland;intestine;colon;parathyroid;fovea centralis;choroid;uterus;whole body;oesophagus;larynx;bone;testis;dura mater;artery;unclassifiable (Anatomical System);meninges;lymph node;islets of Langerhans;pia mater;lung;cornea;adrenal gland;nasopharynx;placenta;hippocampus;head and neck;kidney;stomach;aorta;thymus;</t>
  </si>
  <si>
    <t xml:space="preserve">amygdala;whole brain;medulla oblongata;testis - interstitial;occipital lobe;thalamus;adipose tissue;hypothalamus;temporal lobe;white blood cells;caudate nucleus;pons;subthalamic nucleus;prostate;fetal brain;prefrontal cortex;globus pallidus;cingulate cortex;parietal lobe;tonsil;</t>
  </si>
  <si>
    <t xml:space="preserve">MYH9</t>
  </si>
  <si>
    <t xml:space="preserve">TISSUE SPECIFICITY: In the kidney, expressed in the glomeruli. Also expressed in leukocytes. {ECO:0000269|PubMed:11752022, ECO:0000269|PubMed:1912569}.; </t>
  </si>
  <si>
    <t xml:space="preserve">smooth muscle;ovary;sympathetic chain;skin;retina;bone marrow;prostate;ganglion;endometrium;cochlea;thyroid;amniotic fluid;germinal center;bladder;brain;tonsil;heart;cartilage;tongue;pharynx;blood;breast;visual apparatus;liver;alveolus;spleen;cervix;mammary gland;peripheral nerve;salivary gland;intestine;colon;parathyroid;choroid;uterus;oesophagus;larynx;bone;testis;artery;spinal ganglion;unclassifiable (Anatomical System);lymph node;lacrimal gland;islets of Langerhans;muscle;pancreas;lung;cornea;placenta;hippocampus;amnion;hypopharynx;head and neck;kidney;stomach;aorta;</t>
  </si>
  <si>
    <t xml:space="preserve">dorsal root ganglion;superior cervical ganglion;testis - seminiferous tubule;placenta;ciliary ganglion;atrioventricular node;trigeminal ganglion;skin;skeletal muscle;bone marrow;</t>
  </si>
  <si>
    <t xml:space="preserve">MYO10</t>
  </si>
  <si>
    <t xml:space="preserve">TISSUE SPECIFICITY: Ubiquitous. {ECO:0000269|PubMed:10984435}.; </t>
  </si>
  <si>
    <t xml:space="preserve">smooth muscle;ovary;skin;bone marrow;retina;prostate;optic nerve;frontal lobe;endometrium;thyroid;amniotic fluid;germinal center;brain;heart;cartilage;tongue;spinal cord;lens;skeletal muscle;breast;trabecular meshwork;visual apparatus;macula lutea;liver;cervix;spleen;mammary gland;colon;parathyroid;choroid;fovea centralis;uterus;cerebral cortex;larynx;bone;pituitary gland;testis;spinal ganglion;unclassifiable (Anatomical System);islets of Langerhans;hypothalamus;muscle;bile duct;pancreas;lung;placenta;hippocampus;head and neck;kidney;stomach;</t>
  </si>
  <si>
    <t xml:space="preserve">dorsal root ganglion;amygdala;occipital lobe;superior cervical ganglion;prefrontal cortex;appendix;caudate nucleus;trigeminal ganglion;</t>
  </si>
  <si>
    <t xml:space="preserve">MYO18B</t>
  </si>
  <si>
    <t xml:space="preserve">TISSUE SPECIFICITY: Selectively expressed in cardiac and skeletal muscles. Weakly expressed in testis, pancreas, placenta, prostate, lung and thymus.; </t>
  </si>
  <si>
    <t xml:space="preserve">unclassifiable (Anatomical System);lymph node;heart;larynx;visual apparatus;liver;testis;spleen;head and neck;skeletal muscle;retina;</t>
  </si>
  <si>
    <t xml:space="preserve">MYO1C</t>
  </si>
  <si>
    <t xml:space="preserve">smooth muscle;ovary;salivary gland;colon;choroid;skin;bone marrow;uterus;prostate;whole body;cerebral cortex;endometrium;synovium;larynx;bone;thyroid;iris;testis;germinal center;spinal ganglion;brain;bladder;unclassifiable (Anatomical System);lymph node;cartilage;heart;tongue;islets of Langerhans;skeletal muscle;breast;bile duct;pancreas;lung;epididymis;placenta;visual apparatus;hypopharynx;duodenum;liver;cervix;spleen;head and neck;kidney;mammary gland;stomach;cerebellum;</t>
  </si>
  <si>
    <t xml:space="preserve">dorsal root ganglion;superior cervical ganglion;ciliary ganglion;atrioventricular node;trigeminal ganglion;skeletal muscle;</t>
  </si>
  <si>
    <t xml:space="preserve">MYO5B</t>
  </si>
  <si>
    <t xml:space="preserve">myosin VB</t>
  </si>
  <si>
    <t xml:space="preserve">ovary;colon;parathyroid;fovea centralis;choroid;skin;retina;uterus;prostate;optic nerve;whole body;endometrium;thyroid;testis;dura mater;germinal center;brain;bladder;pineal gland;unclassifiable (Anatomical System);meninges;cartilage;heart;islets of Langerhans;lens;skeletal muscle;bile duct;breast;pia mater;lung;placenta;macula lutea;visual apparatus;liver;spleen;cervix;kidney;mammary gland;stomach;</t>
  </si>
  <si>
    <t xml:space="preserve">dorsal root ganglion;testis - interstitial;superior cervical ganglion;testis;globus pallidus;ciliary ganglion;pons;kidney;trigeminal ganglion;skeletal muscle;</t>
  </si>
  <si>
    <t xml:space="preserve">MYO7B</t>
  </si>
  <si>
    <t xml:space="preserve">liver;brain;skeletal muscle;</t>
  </si>
  <si>
    <t xml:space="preserve">dorsal root ganglion;medulla oblongata;testis - interstitial;subthalamic nucleus;superior cervical ganglion;ciliary ganglion;atrioventricular node;pons;trigeminal ganglion;skeletal muscle;</t>
  </si>
  <si>
    <t xml:space="preserve">NAE1</t>
  </si>
  <si>
    <t xml:space="preserve">TISSUE SPECIFICITY: Ubiquitous in fetal tissues. Expressed throughout the adult brain. {ECO:0000269|PubMed:8626687}.; </t>
  </si>
  <si>
    <t xml:space="preserve">ovary;salivary gland;sympathetic chain;intestine;colon;parathyroid;skin;retina;bone marrow;uterus;prostate;whole body;frontal lobe;endometrium;bone;thyroid;iris;testis;brain;artery;bladder;unclassifiable (Anatomical System);lymph node;cartilage;heart;islets of Langerhans;muscle;urinary;pharynx;blood;breast;bile duct;lung;cornea;adrenal gland;nasopharynx;placenta;visual apparatus;hippocampus;duodenum;liver;cervix;kidney;mammary gland;stomach;aorta;cerebellum;peripheral nerve;</t>
  </si>
  <si>
    <t xml:space="preserve">testis - interstitial;testis - seminiferous tubule;testis;</t>
  </si>
  <si>
    <t xml:space="preserve">NANP</t>
  </si>
  <si>
    <t xml:space="preserve">unclassifiable (Anatomical System);cartilage;heart;islets of Langerhans;colon;skin;skeletal muscle;uterus;pancreas;lung;endometrium;bone;placenta;thyroid;visual apparatus;hippocampus;duodenum;testis;kidney;brain;peripheral nerve;</t>
  </si>
  <si>
    <t xml:space="preserve">dorsal root ganglion;superior cervical ganglion;medulla oblongata;ciliary ganglion;atrioventricular node;trigeminal ganglion;skeletal muscle;cerebellum;</t>
  </si>
  <si>
    <t xml:space="preserve">NARS2</t>
  </si>
  <si>
    <t xml:space="preserve">ovary;sympathetic chain;colon;parathyroid;skin;uterus;prostate;frontal lobe;cochlea;larynx;bone;testis;germinal center;brain;gall bladder;unclassifiable (Anatomical System);islets of Langerhans;blood;bile duct;pancreas;lung;placenta;visual apparatus;hippocampus;liver;spleen;head and neck;cervix;kidney;</t>
  </si>
  <si>
    <t xml:space="preserve">dorsal root ganglion;superior cervical ganglion;ciliary ganglion;skeletal muscle;parietal lobe;</t>
  </si>
  <si>
    <t xml:space="preserve">NCF2</t>
  </si>
  <si>
    <t xml:space="preserve">NCF4</t>
  </si>
  <si>
    <t xml:space="preserve">TISSUE SPECIFICITY: Expression is restricted to hematopoietic cells.; </t>
  </si>
  <si>
    <t xml:space="preserve">unclassifiable (Anatomical System);lymph node;cartilage;umbilical cord;ovary;heart;colon;blood;choroid;skeletal muscle;bone marrow;uterus;pancreas;lung;nasopharynx;bone;placenta;liver;testis;spleen;germinal center;brain;</t>
  </si>
  <si>
    <t xml:space="preserve">whole blood;trigeminal ganglion;bone marrow;</t>
  </si>
  <si>
    <t xml:space="preserve">NDRG1</t>
  </si>
  <si>
    <t xml:space="preserve">TISSUE SPECIFICITY: Ubiquitous; expressed most prominently in placental membranes and prostate, kidney, small intestine, and ovary tissues. Also expressed in heart, brain, skeletal muscle, lung, liver and pancreas. Low levels in peripheral blood leukocytes and in tissues of the immune system. Expressed mainly in epithelial cells. Also found in Schwann cells of peripheral neurons. Reduced expression in adenocarcinomas compared to normal tissues. In colon, prostate and placental membranes, the cells that border the lumen show the highest expression. {ECO:0000269|PubMed:12432451, ECO:0000269|PubMed:8939898, ECO:0000269|PubMed:9251681, ECO:0000269|PubMed:9605764}.; </t>
  </si>
  <si>
    <t xml:space="preserve">myocardium;ovary;skin;bone marrow;retina;prostate;optic nerve;ganglion;frontal lobe;endometrium;cochlea;thyroid;germinal center;brain;heart;cartilage;tongue;blood;lens;skeletal muscle;visual apparatus;macula lutea;liver;spleen;cervix;mammary gland;colon;parathyroid;choroid;fovea centralis;uterus;whole body;oesophagus;larynx;bone;pituitary gland;testis;unclassifiable (Anatomical System);lymph node;islets of Langerhans;pancreas;lung;adrenal gland;nasopharynx;placenta;head and neck;kidney;stomach;aorta;thymus;</t>
  </si>
  <si>
    <t xml:space="preserve">dorsal root ganglion;prostate;superior cervical ganglion;olfactory bulb;spinal cord;ciliary ganglion;atrioventricular node;kidney;trigeminal ganglion;</t>
  </si>
  <si>
    <t xml:space="preserve">NEIL1</t>
  </si>
  <si>
    <t xml:space="preserve">TISSUE SPECIFICITY: Ubiquitous. {ECO:0000269|PubMed:11904416}.; </t>
  </si>
  <si>
    <t xml:space="preserve">colon;parathyroid;fovea centralis;choroid;retina;bone marrow;uterus;optic nerve;frontal lobe;endometrium;bone;testis;germinal center;brain;unclassifiable (Anatomical System);lymph node;cartilage;lacrimal gland;islets of Langerhans;adrenal cortex;lens;skeletal muscle;pancreas;lung;placenta;macula lutea;visual apparatus;liver;spleen;cervix;kidney;stomach;</t>
  </si>
  <si>
    <t xml:space="preserve">NF1</t>
  </si>
  <si>
    <t xml:space="preserve">TISSUE SPECIFICITY: Detected in brain, peripheral nerve, lung, colon and muscle. {ECO:0000269|PubMed:8417346}.; </t>
  </si>
  <si>
    <t xml:space="preserve">medulla oblongata;ovary;salivary gland;intestine;colon;skin;prostate;frontal lobe;endometrium;larynx;thyroid;testis;germinal center;brain;pineal gland;bladder;unclassifiable (Anatomical System);heart;tongue;islets of Langerhans;spinal cord;pharynx;blood;skeletal muscle;breast;bile duct;pancreas;lung;placenta;visual apparatus;amnion;hypopharynx;alveolus;liver;head and neck;cervix;kidney;stomach;</t>
  </si>
  <si>
    <t xml:space="preserve">dorsal root ganglion;superior cervical ganglion;occipital lobe;testis - interstitial;medulla oblongata;cerebellum peduncles;pons;atrioventricular node;skeletal muscle;subthalamic nucleus;testis - seminiferous tubule;prefrontal cortex;testis;globus pallidus;ciliary ganglion;trigeminal ganglion;cingulate cortex;parietal lobe;</t>
  </si>
  <si>
    <t xml:space="preserve">NFIC</t>
  </si>
  <si>
    <t xml:space="preserve">ovary;colon;fovea centralis;choroid;skin;retina;uterus;prostate;optic nerve;whole body;frontal lobe;endometrium;larynx;bone;thyroid;iris;testis;brain;tonsil;unclassifiable (Anatomical System);cartilage;lacrimal gland;islets of Langerhans;lens;breast;lung;placenta;macula lutea;visual apparatus;liver;cervix;head and neck;kidney;mammary gland;stomach;thymus;cerebellum;</t>
  </si>
  <si>
    <t xml:space="preserve">tongue;liver;adrenal cortex;fetal thyroid;cingulate cortex;skeletal muscle;parietal lobe;</t>
  </si>
  <si>
    <t xml:space="preserve">NLGN3</t>
  </si>
  <si>
    <t xml:space="preserve">TISSUE SPECIFICITY: Expressed in the blood vessel walls (at protein level). Detected in throughout the brain and in spinal cord. Detected in brain, and at lower levels in pancreas islet beta cells. {ECO:0000269|PubMed:10767552, ECO:0000269|PubMed:18755801, ECO:0000269|PubMed:19926856}.; </t>
  </si>
  <si>
    <t xml:space="preserve">unclassifiable (Anatomical System);amygdala;cerebellum cortex;hypothalamus;retina;prostate;lung;frontal lobe;endometrium;placenta;hippocampus;liver;testis;brain;</t>
  </si>
  <si>
    <t xml:space="preserve">globus pallidus;ciliary ganglion;trigeminal ganglion;cingulate cortex;</t>
  </si>
  <si>
    <t xml:space="preserve">NLN</t>
  </si>
  <si>
    <t xml:space="preserve">ovary;salivary gland;intestine;colon;parathyroid;fovea centralis;vein;skin;retina;uterus;prostate;whole body;frontal lobe;endometrium;bone;thyroid;testis;brain;bladder;pineal gland;unclassifiable (Anatomical System);cartilage;heart;adrenal cortex;pharynx;blood;bile duct;pancreas;lung;adrenal gland;placenta;macula lutea;visual apparatus;liver;cervix;kidney;aorta;</t>
  </si>
  <si>
    <t xml:space="preserve">NLRP6</t>
  </si>
  <si>
    <t xml:space="preserve">TISSUE SPECIFICITY: Expressed in peripheral blood leukocytes, predominantly in granulocytes and, at lower levels, in CD4(+) and CD8(+) T cells. Expressed in colonic myofibroblasts (at protein level) (PubMed:21593405). {ECO:0000269|PubMed:12387869, ECO:0000269|PubMed:21593405}.; </t>
  </si>
  <si>
    <t xml:space="preserve">unclassifiable (Anatomical System);trabecular meshwork;colon;</t>
  </si>
  <si>
    <t xml:space="preserve">dorsal root ganglion;superior cervical ganglion;subthalamic nucleus;globus pallidus;ciliary ganglion;pons;atrioventricular node;trigeminal ganglion;skeletal muscle;skin;</t>
  </si>
  <si>
    <t xml:space="preserve">NPC2</t>
  </si>
  <si>
    <t xml:space="preserve">TISSUE SPECIFICITY: Epididymis. {ECO:0000269|PubMed:19664597}.; </t>
  </si>
  <si>
    <t xml:space="preserve">myocardium;medulla oblongata;ovary;skin;retina;bone marrow;prostate;optic nerve;endometrium;thyroid;germinal center;bladder;brain;heart;cartilage;tongue;blood;lens;breast;epididymis;macula lutea;visual apparatus;liver;spleen;cervix;mammary gland;colon;parathyroid;fovea centralis;choroid;vein;uterus;whole body;oesophagus;larynx;bone;testis;pineal gland;unclassifiable (Anatomical System);lymph node;trophoblast;small intestine;islets of Langerhans;hypothalamus;muscle;pancreas;lung;nasopharynx;placenta;hippocampus;head and neck;kidney;aorta;</t>
  </si>
  <si>
    <t xml:space="preserve">olfactory bulb;testis;</t>
  </si>
  <si>
    <t xml:space="preserve">NPEPPS</t>
  </si>
  <si>
    <t xml:space="preserve">TISSUE SPECIFICITY: Detected in liver, epithelium of renal tubules, epithelium of small and large intestine, gastric epithelial cells, and alveoli of the lung (at protein level). {ECO:0000269|PubMed:10978616}.; </t>
  </si>
  <si>
    <t xml:space="preserve">smooth muscle;ovary;skin;bone marrow;retina;prostate;optic nerve;frontal lobe;endometrium;thyroid;iris;amniotic fluid;germinal center;brain;heart;cartilage;tongue;blood;lens;breast;epididymis;visual apparatus;macula lutea;liver;spleen;cervix;mammary gland;colon;choroid;fovea centralis;uterus;whole body;larynx;bone;testis;pineal gland;unclassifiable (Anatomical System);lymph node;islets of Langerhans;hypothalamus;bile duct;pancreas;lung;placenta;duodenum;head and neck;kidney;stomach;aorta;thymus;</t>
  </si>
  <si>
    <t xml:space="preserve">dorsal root ganglion;thalamus;superior cervical ganglion;medulla oblongata;occipital lobe;pons;caudate nucleus;skeletal muscle;subthalamic nucleus;testis - seminiferous tubule;globus pallidus;ciliary ganglion;cingulate cortex;parietal lobe;</t>
  </si>
  <si>
    <t xml:space="preserve">NPR1</t>
  </si>
  <si>
    <t xml:space="preserve">NUP153</t>
  </si>
  <si>
    <t xml:space="preserve">ovary;salivary gland;intestine;colon;parathyroid;skin;retina;bone marrow;uterus;prostate;whole body;endometrium;larynx;bone;thyroid;testis;germinal center;brain;bladder;unclassifiable (Anatomical System);lymph node;cartilage;heart;islets of Langerhans;pharynx;blood;skeletal muscle;breast;pancreas;lung;adrenal gland;epididymis;placenta;visual apparatus;alveolus;liver;spleen;head and neck;kidney;mammary gland;aorta;stomach;thymus;</t>
  </si>
  <si>
    <t xml:space="preserve">testis - interstitial;superior cervical ganglion;fetal liver;ciliary ganglion;atrioventricular node;trigeminal ganglion;</t>
  </si>
  <si>
    <t xml:space="preserve">NUP214</t>
  </si>
  <si>
    <t xml:space="preserve">TISSUE SPECIFICITY: Expressed in thymus, spleen, bone marrow, kidney, brain and testis, but hardly in all other tissues or in whole embryos during development.; </t>
  </si>
  <si>
    <t xml:space="preserve">ovary;colon;skin;retina;bone marrow;uterus;prostate;frontal lobe;endometrium;bone;thyroid;iris;pituitary gland;testis;germinal center;brain;bladder;unclassifiable (Anatomical System);lymph node;cartilage;heart;islets of Langerhans;spinal cord;muscle;blood;skeletal muscle;breast;pancreas;lung;nasopharynx;placenta;visual apparatus;hypopharynx;liver;spleen;head and neck;cervix;kidney;mammary gland;stomach;thymus;</t>
  </si>
  <si>
    <t xml:space="preserve">testis - interstitial;superior cervical ganglion;testis - seminiferous tubule;testis;globus pallidus;trigeminal ganglion;</t>
  </si>
  <si>
    <t xml:space="preserve">NWD2</t>
  </si>
  <si>
    <t xml:space="preserve">OGT</t>
  </si>
  <si>
    <t xml:space="preserve">O-linked N-acetylglucosamine (GlcNAc) transferase</t>
  </si>
  <si>
    <t xml:space="preserve">TISSUE SPECIFICITY: Highly expressed in pancreas and to a lesser extent in skeletal muscle, heart, brain and placenta. Present in trace amounts in lung and liver. {ECO:0000269|PubMed:9083068}.; </t>
  </si>
  <si>
    <t xml:space="preserve">OR51T1</t>
  </si>
  <si>
    <t xml:space="preserve">OSBPL7</t>
  </si>
  <si>
    <t xml:space="preserve">TISSUE SPECIFICITY: Expressed in epithelium of small and large intestines (at protein level). Expressed in stomach, duodenum, jejunum, ascending colon, spleen, thymus, lymph node, trachea and leukocytes. {ECO:0000269|PubMed:14593528}.; </t>
  </si>
  <si>
    <t xml:space="preserve">colon;choroid;fovea centralis;retina;prostate;subthalamic nucleus;optic nerve;frontal lobe;endometrium;pituitary gland;testis;brain;unclassifiable (Anatomical System);lymph node;cartilage;tongue;blood;lens;skeletal muscle;pancreas;lung;hippocampus;macula lutea;head and neck;kidney;stomach;</t>
  </si>
  <si>
    <t xml:space="preserve">dorsal root ganglion;superior cervical ganglion;globus pallidus;ciliary ganglion;atrioventricular node;trigeminal ganglion;skeletal muscle;</t>
  </si>
  <si>
    <t xml:space="preserve">OXGR1</t>
  </si>
  <si>
    <t xml:space="preserve">TISSUE SPECIFICITY: Detected in kidney and, to a lower extend, in placenta. Not detected in brain tissues including the frontal cortex, caudate putamen, thalamus, hypothalamus, hippocampus or pons.; </t>
  </si>
  <si>
    <t xml:space="preserve">visual apparatus;</t>
  </si>
  <si>
    <t xml:space="preserve">dorsal root ganglion;superior cervical ganglion;globus pallidus;ciliary ganglion;atrioventricular node;skeletal muscle;</t>
  </si>
  <si>
    <t xml:space="preserve">P2RX2</t>
  </si>
  <si>
    <t xml:space="preserve">superior cervical ganglion;ciliary ganglion;pons;atrioventricular node;trigeminal ganglion;parietal lobe;skeletal muscle;</t>
  </si>
  <si>
    <t xml:space="preserve">PAK1IP1</t>
  </si>
  <si>
    <t xml:space="preserve">TISSUE SPECIFICITY: Expressed in brain, colon, heart, kidney, liver, lung, muscle, peripheral blood leukocytes, placenta, small intestine, spleen and thymus. {ECO:0000269|PubMed:11371639}.; </t>
  </si>
  <si>
    <t xml:space="preserve">PARK2</t>
  </si>
  <si>
    <t xml:space="preserve">TISSUE SPECIFICITY: Highly expressed in the brain including the substantia nigra. Expressed in heart, testis and skeletal muscle. Expression is down-regulated or absent in tumor biopsies, and absent in the brain of PARK2 patients. Overexpression protects dopamine neurons from kainate-mediated apoptosis. Found in serum (at protein level). {ECO:0000269|PubMed:19501131}.; </t>
  </si>
  <si>
    <t xml:space="preserve">unclassifiable (Anatomical System);placenta;</t>
  </si>
  <si>
    <t xml:space="preserve">dorsal root ganglion;superior cervical ganglion;globus pallidus;ciliary ganglion;pons;trigeminal ganglion;skeletal muscle;</t>
  </si>
  <si>
    <t xml:space="preserve">PARVG</t>
  </si>
  <si>
    <t xml:space="preserve">TISSUE SPECIFICITY: Expressed predominantly in lymphoid organs, including spleen, thymus, lymph node, bone marrow and peripheral blood leukocytes and moderately in the digestive tract, including stomach, duodenum, jejunum, ileum, ileocecum and appendix, as well as in lung and liver. Also expressed in tumors, but at a lower level than in the corresponding normal tissues. {ECO:0000269|PubMed:11722847}.; </t>
  </si>
  <si>
    <t xml:space="preserve">unclassifiable (Anatomical System);smooth muscle;lymph node;small intestine;tongue;islets of Langerhans;blood;skeletal muscle;bone marrow;uterus;lung;endometrium;larynx;placenta;liver;testis;head and neck;kidney;brain;stomach;thymus;</t>
  </si>
  <si>
    <t xml:space="preserve">PAX6</t>
  </si>
  <si>
    <t xml:space="preserve">TISSUE SPECIFICITY: Fetal eye, brain, spinal cord and olfactory epithelium. Isoform 5a is less abundant than the PAX6 shorter form.; </t>
  </si>
  <si>
    <t xml:space="preserve">unclassifiable (Anatomical System);lung;lacrimal gland;endometrium;islets of Langerhans;visual apparatus;duodenum;lens;brain;skeletal muscle;retina;</t>
  </si>
  <si>
    <t xml:space="preserve">amygdala;occipital lobe;medulla oblongata;superior cervical ganglion;cerebellum peduncles;beta cell islets;prefrontal cortex;globus pallidus;parietal lobe;cerebellum;</t>
  </si>
  <si>
    <t xml:space="preserve">PCMTD2</t>
  </si>
  <si>
    <t xml:space="preserve">ovary;developmental;colon;parathyroid;fovea centralis;choroid;skin;retina;bone marrow;uterus;prostate;optic nerve;whole body;frontal lobe;cochlea;endometrium;bone;thyroid;pituitary gland;testis;dura mater;brain;gall bladder;unclassifiable (Anatomical System);meninges;lymph node;cartilage;heart;tongue;islets of Langerhans;blood;lens;skeletal muscle;breast;pia mater;lung;adrenal gland;nasopharynx;trabecular meshwork;placenta;macula lutea;visual apparatus;hippocampus;liver;spleen;head and neck;cervix;kidney;stomach;</t>
  </si>
  <si>
    <t xml:space="preserve">dorsal root ganglion;superior cervical ganglion;atrioventricular node;trigeminal ganglion;skeletal muscle;</t>
  </si>
  <si>
    <t xml:space="preserve">PCNX1</t>
  </si>
  <si>
    <t xml:space="preserve">PCSK1</t>
  </si>
  <si>
    <t xml:space="preserve">unclassifiable (Anatomical System);ovary;cartilage;islets of Langerhans;hypothalamus;fovea centralis;retina;breast;lung;bone;macula lutea;hippocampus;pituitary gland;testis;brain;stomach;</t>
  </si>
  <si>
    <t xml:space="preserve">amygdala;whole brain;occipital lobe;medulla oblongata;subthalamic nucleus;hypothalamus;beta cell islets;prefrontal cortex;globus pallidus;ciliary ganglion;pons;parietal lobe;pituitary;</t>
  </si>
  <si>
    <t xml:space="preserve">PDE11A</t>
  </si>
  <si>
    <t xml:space="preserve">TISSUE SPECIFICITY: Isoform 1 is present in prostate, pituitary, heart and liver. It is however not present in testis nor in penis, suggesting that weak inhibition by Tadalafil (Cialis) is not relevant (at protein level). Isoform 2 may be expressed in testis. Isoform 4 is expressed in adrenal cortex. {ECO:0000269|PubMed:10725373, ECO:0000269|PubMed:11121118, ECO:0000269|PubMed:15800651, ECO:0000269|PubMed:16079899, ECO:0000269|PubMed:16767104}.; </t>
  </si>
  <si>
    <t xml:space="preserve">PEX1</t>
  </si>
  <si>
    <t xml:space="preserve">lymphoreticular;ovary;skin;uterus;prostate;whole body;endometrium;larynx;testis;germinal center;brain;unclassifiable (Anatomical System);lymph node;heart;cartilage;urinary;skeletal muscle;breast;lung;adrenal gland;visual apparatus;liver;spleen;head and neck;cervix;kidney;mammary gland;stomach;</t>
  </si>
  <si>
    <t xml:space="preserve">superior cervical ganglion;trigeminal ganglion;</t>
  </si>
  <si>
    <t xml:space="preserve">PEX6</t>
  </si>
  <si>
    <t xml:space="preserve">lymphoreticular;medulla oblongata;ovary;salivary gland;intestine;colon;parathyroid;fovea centralis;choroid;skin;retina;bone marrow;uterus;prostate;optic nerve;whole body;frontal lobe;cerebral cortex;endometrium;bone;thyroid;testis;germinal center;brain;bladder;unclassifiable (Anatomical System);lymph node;cartilage;heart;tongue;islets of Langerhans;pharynx;blood;lens;skeletal muscle;breast;lung;placenta;macula lutea;visual apparatus;liver;spleen;head and neck;cervix;kidney;stomach;cerebellum;</t>
  </si>
  <si>
    <t xml:space="preserve">superior cervical ganglion;ciliary ganglion;pons;atrioventricular node;trigeminal ganglion;skeletal muscle;</t>
  </si>
  <si>
    <t xml:space="preserve">PHYKPL</t>
  </si>
  <si>
    <t xml:space="preserve">PIH1D1</t>
  </si>
  <si>
    <t xml:space="preserve">TISSUE SPECIFICITY: Expressed at low levels in normal mammary epithelial cells (at protein level) (PubMed:24036451). Highest expression in lung, leukocyte and placenta. Expressed at lower levels in brain, prostate, colon, heart, small intestine, liver, ovary, pancreas, skeletal muscle, spleen, testis and thymus (PubMed:21078300). {ECO:0000269|PubMed:21078300, ECO:0000269|PubMed:24036451}.; </t>
  </si>
  <si>
    <t xml:space="preserve">myocardium;smooth muscle;ovary;colon;parathyroid;choroid;skin;retina;uterus;prostate;frontal lobe;endometrium;bone;pituitary gland;testis;brain;tonsil;unclassifiable (Anatomical System);lymph node;trophoblast;cartilage;heart;islets of Langerhans;hypothalamus;muscle;urinary;adrenal cortex;blood;lens;skeletal muscle;pancreas;lung;placenta;visual apparatus;liver;duodenum;spleen;cervix;kidney;mammary gland;stomach;thymus;</t>
  </si>
  <si>
    <t xml:space="preserve">whole brain;skeletal muscle;cingulate cortex;cerebellum;</t>
  </si>
  <si>
    <t xml:space="preserve">PITPNM1</t>
  </si>
  <si>
    <t xml:space="preserve">TISSUE SPECIFICITY: Ubiquitous. {ECO:0000269|PubMed:10022914}.; </t>
  </si>
  <si>
    <t xml:space="preserve">ovary;salivary gland;colon;fovea centralis;choroid;skin;retina;bone marrow;uterus;optic nerve;frontal lobe;endometrium;larynx;thyroid;bone;iris;germinal center;brain;unclassifiable (Anatomical System);amygdala;cartilage;islets of Langerhans;hypothalamus;pharynx;blood;lens;pancreas;lung;placenta;macula lutea;visual apparatus;hippocampus;liver;spleen;head and neck;cervix;kidney;stomach;</t>
  </si>
  <si>
    <t xml:space="preserve">thalamus;subthalamic nucleus;medulla oblongata;cerebellum peduncles;temporal lobe;caudate nucleus;atrioventricular node;pons;skeletal muscle;parietal lobe;cingulate cortex;cerebellum;</t>
  </si>
  <si>
    <t xml:space="preserve">PKHD1</t>
  </si>
  <si>
    <t xml:space="preserve">TISSUE SPECIFICITY: Predominantly expressed in fetal and adult kidney. In the kidney, it is found in the cortical and medullary collecting ducts. Also present in the adult pancreas, but at much lower levels. Detectable in fetal and adult liver. Rather indistinct signal in fetal brain. {ECO:0000269|PubMed:14978161, ECO:0000269|PubMed:15458427}.; </t>
  </si>
  <si>
    <t xml:space="preserve">unclassifiable (Anatomical System);liver;kidney;</t>
  </si>
  <si>
    <t xml:space="preserve">PKP3</t>
  </si>
  <si>
    <t xml:space="preserve">TISSUE SPECIFICITY: Isoform PKP3a is found in desmosomes of most simple and stratified epithelia. Not found in foreskin fibroblasts and various sarcoma-derived cell lines. Beside dendritic reticular cells of lymphatic follicles not found in non-epithelial desmosome-bearing tissues. Isoform PKP3b is abundant in the desmosomes of stratified epithelial cell but absent in simple epithelial cells, it is also expressed in the colon and its tumors. {ECO:0000269|PubMed:24178805}.; </t>
  </si>
  <si>
    <t xml:space="preserve">unclassifiable (Anatomical System);cartilage;ovary;heart;tongue;islets of Langerhans;colon;parathyroid;blood;skin;uterus;pancreas;prostate;whole body;lung;bone;placenta;hypopharynx;testis;cervix;head and neck;brain;mammary gland;stomach;</t>
  </si>
  <si>
    <t xml:space="preserve">superior cervical ganglion;tongue;placenta;trigeminal ganglion;skeletal muscle;</t>
  </si>
  <si>
    <t xml:space="preserve">PLEKHH2</t>
  </si>
  <si>
    <t xml:space="preserve">TISSUE SPECIFICITY: Kidney. Reduced expression in patients with focal segmental glomerulosclerosis. {ECO:0000269|PubMed:22832517}.; </t>
  </si>
  <si>
    <t xml:space="preserve">smooth muscle;ovary;colon;parathyroid;fovea centralis;choroid;skin;retina;uterus;prostate;optic nerve;whole body;endometrium;thyroid;bone;testis;brain;artery;unclassifiable (Anatomical System);heart;cartilage;islets of Langerhans;hypothalamus;lens;skeletal muscle;pancreas;lung;adrenal gland;placenta;macula lutea;hippocampus;kidney;mammary gland;stomach;aorta;</t>
  </si>
  <si>
    <t xml:space="preserve">globus pallidus;atrioventricular node;</t>
  </si>
  <si>
    <t xml:space="preserve">PLK1</t>
  </si>
  <si>
    <t xml:space="preserve">TISSUE SPECIFICITY: Placenta and colon.; </t>
  </si>
  <si>
    <t xml:space="preserve">lymphoreticular;medulla oblongata;ovary;skin;bone marrow;retina;prostate;optic nerve;thyroid;germinal center;bladder;brain;tonsil;heart;tongue;pharynx;blood;lens;skeletal muscle;breast;visual apparatus;macula lutea;liver;spleen;cervix;mammary gland;salivary gland;intestine;colon;parathyroid;choroid;fovea centralis;uterus;whole body;oesophagus;larynx;bone;testis;unclassifiable (Anatomical System);lymph node;muscle;bile duct;pancreas;lung;cornea;placenta;duodenum;head and neck;kidney;stomach;</t>
  </si>
  <si>
    <t xml:space="preserve">dorsal root ganglion;fetal liver;superior cervical ganglion;testis - seminiferous tubule;testis;ciliary ganglion;pons;atrioventricular node;trigeminal ganglion;parietal lobe;skeletal muscle;cerebellum;</t>
  </si>
  <si>
    <t xml:space="preserve">POTEJ</t>
  </si>
  <si>
    <t xml:space="preserve">PPFIA2</t>
  </si>
  <si>
    <t xml:space="preserve">TISSUE SPECIFICITY: Expressed only in brain. {ECO:0000269|PubMed:9624153}.; </t>
  </si>
  <si>
    <t xml:space="preserve">unclassifiable (Anatomical System);smooth muscle;choroid;fovea centralis;lens;skeletal muscle;retina;optic nerve;frontal lobe;macula lutea;testis;kidney;brain;cerebellum;</t>
  </si>
  <si>
    <t xml:space="preserve">amygdala;subthalamic nucleus;superior cervical ganglion;medulla oblongata;occipital lobe;prefrontal cortex;globus pallidus;pons;skeletal muscle;parietal lobe;</t>
  </si>
  <si>
    <t xml:space="preserve">PPP1R37</t>
  </si>
  <si>
    <t xml:space="preserve">ovary;colon;parathyroid;fovea centralis;choroid;skin;retina;uterus;optic nerve;whole body;endometrium;larynx;thyroid;pituitary gland;testis;dura mater;germinal center;bladder;brain;unclassifiable (Anatomical System);meninges;heart;islets of Langerhans;lens;pancreas;pia mater;lung;placenta;macula lutea;head and neck;kidney;stomach;thymus;</t>
  </si>
  <si>
    <t xml:space="preserve">dorsal root ganglion;superior cervical ganglion;skeletal muscle;</t>
  </si>
  <si>
    <t xml:space="preserve">PRICKLE3</t>
  </si>
  <si>
    <t xml:space="preserve">PRKG1</t>
  </si>
  <si>
    <t xml:space="preserve">TISSUE SPECIFICITY: Primarily expressed in lung and placenta. {ECO:0000269|PubMed:9192852}.; </t>
  </si>
  <si>
    <t xml:space="preserve">unclassifiable (Anatomical System);uterus;whole body;heart;artery;skin;aorta;</t>
  </si>
  <si>
    <t xml:space="preserve">dorsal root ganglion;superior cervical ganglion;subthalamic nucleus;ciliary ganglion;caudate nucleus;pons;atrioventricular node;trigeminal ganglion;cerebellum;</t>
  </si>
  <si>
    <t xml:space="preserve">PROS1</t>
  </si>
  <si>
    <t xml:space="preserve">TISSUE SPECIFICITY: Plasma.; </t>
  </si>
  <si>
    <t xml:space="preserve">smooth muscle;ovary;sympathetic chain;colon;parathyroid;fovea centralis;choroid;skin;retina;uterus;prostate;optic nerve;cochlea;endometrium;thyroid;bone;iris;testis;dura mater;brain;gall bladder;unclassifiable (Anatomical System);meninges;heart;cartilage;islets of Langerhans;urinary;lens;pancreas;pia mater;lung;placenta;macula lutea;hippocampus;liver;duodenum;spleen;cervix;kidney;stomach;</t>
  </si>
  <si>
    <t xml:space="preserve">PRPF18</t>
  </si>
  <si>
    <t xml:space="preserve">unclassifiable (Anatomical System);smooth muscle;ovary;colon;parathyroid;blood;fovea centralis;choroid;lens;skin;retina;optic nerve;lung;endometrium;nasopharynx;bone;macula lutea;visual apparatus;hypopharynx;liver;testis;head and neck;spleen;kidney;brain;</t>
  </si>
  <si>
    <t xml:space="preserve">atrioventricular node;trigeminal ganglion;</t>
  </si>
  <si>
    <t xml:space="preserve">PRSS1</t>
  </si>
  <si>
    <t xml:space="preserve">pancreas;islets of Langerhans;liver;colon;spleen;</t>
  </si>
  <si>
    <t xml:space="preserve">superior cervical ganglion;pancreas;beta cell islets;ciliary ganglion;bone marrow;</t>
  </si>
  <si>
    <t xml:space="preserve">PTH1R</t>
  </si>
  <si>
    <t xml:space="preserve">TISSUE SPECIFICITY: Expressed in most tissues. Most abundant in kidney, bone and liver.; </t>
  </si>
  <si>
    <t xml:space="preserve">unclassifiable (Anatomical System);heart;cartilage;colon;fovea centralis;choroid;lens;skin;retina;uterus;optic nerve;whole body;lung;placenta;bone;macula lutea;visual apparatus;liver;spleen;kidney;brain;stomach;</t>
  </si>
  <si>
    <t xml:space="preserve">dorsal root ganglion;superior cervical ganglion;globus pallidus;ciliary ganglion;pons;kidney;atrioventricular node;skeletal muscle;</t>
  </si>
  <si>
    <t xml:space="preserve">PTPN1</t>
  </si>
  <si>
    <t xml:space="preserve">PTPN22</t>
  </si>
  <si>
    <t xml:space="preserve">protein tyrosine phosphatase, non-receptor type 22</t>
  </si>
  <si>
    <t xml:space="preserve">TISSUE SPECIFICITY: Expressed in bone marrow, B and T-cells, PBMCs, natural killer cells, monocytes, dendritic cells and neutrophils (PubMed:15208781). Both isoform 1 and 4 are predominantly expressed in lymphoid tissues and cells. Isoform 1 is expressed in thymocytes and both mature B and T-cells. {ECO:0000269|PubMed:15208781}.; </t>
  </si>
  <si>
    <t xml:space="preserve">unclassifiable (Anatomical System);lymph node;lung;adrenal gland;nasopharynx;thyroid;testis;colon;germinal center;skeletal muscle;bone marrow;</t>
  </si>
  <si>
    <t xml:space="preserve">superior cervical ganglion;temporal lobe;globus pallidus;atrioventricular node;pons;trigeminal ganglion;</t>
  </si>
  <si>
    <t xml:space="preserve">PTPRC</t>
  </si>
  <si>
    <t xml:space="preserve">ovary;colon;skin;bone marrow;uterus;prostate;whole body;cerebral cortex;endometrium;bone;thyroid;testis;germinal center;brain;unclassifiable (Anatomical System);lymph node;cartilage;heart;islets of Langerhans;adrenal cortex;blood;skeletal muscle;breast;pancreas;lung;adrenal gland;nasopharynx;placenta;liver;spleen;head and neck;kidney;stomach;aorta;thymus;</t>
  </si>
  <si>
    <t xml:space="preserve">lymph node;white blood cells;whole blood;tonsil;thymus;</t>
  </si>
  <si>
    <t xml:space="preserve">PYGO1</t>
  </si>
  <si>
    <t xml:space="preserve">cervix;</t>
  </si>
  <si>
    <t xml:space="preserve">superior cervical ganglion;testis - interstitial;ciliary ganglion;atrioventricular node;trigeminal ganglion;skeletal muscle;</t>
  </si>
  <si>
    <t xml:space="preserve">RAB5C</t>
  </si>
  <si>
    <t xml:space="preserve">medulla oblongata;ovary;sympathetic chain;colon;parathyroid;fovea centralis;choroid;skin;retina;bone marrow;uterus;prostate;optic nerve;whole body;frontal lobe;endometrium;bone;thyroid;testis;germinal center;spinal ganglion;brain;bladder;unclassifiable (Anatomical System);lymph node;cartilage;heart;tongue;islets of Langerhans;adrenal cortex;blood;lens;breast;bile duct;pancreas;lung;adrenal gland;placenta;macula lutea;visual apparatus;alveolus;liver;spleen;head and neck;cervix;kidney;mammary gland;stomach;peripheral nerve;thymus;</t>
  </si>
  <si>
    <t xml:space="preserve">dorsal root ganglion;superior cervical ganglion;temporal lobe;kidney;pons;atrioventricular node;trigeminal ganglion;whole blood;</t>
  </si>
  <si>
    <t xml:space="preserve">RAET1E</t>
  </si>
  <si>
    <t xml:space="preserve">TISSUE SPECIFICITY: Predominantly expressed in the skin, but also expressed in testis and trachea. Up-regulated in tumor cells of different origins. Expression progressively decreased after treatment of tumor cells with retinoic acid. {ECO:0000269|PubMed:12732206, ECO:0000269|PubMed:14508119}.; </t>
  </si>
  <si>
    <t xml:space="preserve">optic nerve;macula lutea;fovea centralis;choroid;lens;retina;</t>
  </si>
  <si>
    <t xml:space="preserve">dorsal root ganglion;superior cervical ganglion;globus pallidus;ciliary ganglion;atrioventricular node;pons;trigeminal ganglion;skeletal muscle;</t>
  </si>
  <si>
    <t xml:space="preserve">RANBP2</t>
  </si>
  <si>
    <t xml:space="preserve">ovary;skin;retina;bone marrow;prostate;optic nerve;frontal lobe;endometrium;thyroid;germinal center;bladder;brain;heart;cartilage;adrenal cortex;pharynx;blood;lens;skeletal muscle;breast;trabecular meshwork;macula lutea;visual apparatus;liver;spleen;cervix;mammary gland;salivary gland;intestine;colon;parathyroid;fovea centralis;choroid;uterus;whole body;oesophagus;larynx;bone;pituitary gland;testis;dura mater;spinal ganglion;unclassifiable (Anatomical System);meninges;small intestine;lacrimal gland;cerebellum cortex;islets of Langerhans;bile duct;pancreas;lung;pia mater;nasopharynx;placenta;duodenum;head and neck;kidney;stomach;thymus;</t>
  </si>
  <si>
    <t xml:space="preserve">superior cervical ganglion;adrenal cortex;atrioventricular node;trigeminal ganglion;parietal lobe;</t>
  </si>
  <si>
    <t xml:space="preserve">RBL1</t>
  </si>
  <si>
    <t xml:space="preserve">unclassifiable (Anatomical System);myocardium;blood;skin;retina;uterus;breast;pancreas;lung;larynx;liver;testis;head and neck;germinal center;</t>
  </si>
  <si>
    <t xml:space="preserve">superior cervical ganglion;testis - interstitial;</t>
  </si>
  <si>
    <t xml:space="preserve">RD3</t>
  </si>
  <si>
    <t xml:space="preserve">TISSUE SPECIFICITY: Preferentially expressed in retina. {ECO:0000269|PubMed:12914764}.; </t>
  </si>
  <si>
    <t xml:space="preserve">RELN</t>
  </si>
  <si>
    <t xml:space="preserve">TISSUE SPECIFICITY: Abundantly produced during brain ontogenesis by the Cajal-Retzius cells and other pioneer neurons located in the telencephalic marginal zone and by granule cells of the external granular layer of the cerebellum. In adult brain, preferentially expressed in GABAergic interneurons of prefrontal cortices, temporal cortex, hippocampus and glutamatergic granule cells of cerebellum. Expression is reduced to about 50% in patients with schizophrenia. Also expressed in fetal and adult liver. {ECO:0000269|PubMed:9861036}.; </t>
  </si>
  <si>
    <t xml:space="preserve">unclassifiable (Anatomical System);amygdala;heart;cartilage;colon;fovea centralis;skin;skeletal muscle;retina;uterus;breast;prostate;lung;cochlea;endometrium;macula lutea;visual apparatus;hippocampus;liver;testis;spleen;spinal ganglion;brain;</t>
  </si>
  <si>
    <t xml:space="preserve">dorsal root ganglion;amygdala;fetal liver;superior cervical ganglion;olfactory bulb;cerebellum peduncles;appendix;ciliary ganglion;atrioventricular node;pons;trigeminal ganglion;skeletal muscle;cerebellum;</t>
  </si>
  <si>
    <t xml:space="preserve">RILPL2</t>
  </si>
  <si>
    <t xml:space="preserve">TISSUE SPECIFICITY: Widely expressed. Expressed at higher level in lung. {ECO:0000269|PubMed:14668488}.; </t>
  </si>
  <si>
    <t xml:space="preserve">unclassifiable (Anatomical System);umbilical cord;islets of Langerhans;colon;blood;fovea centralis;choroid;lens;skin;retina;bone marrow;uterus;prostate;optic nerve;lung;endometrium;bone;macula lutea;alveolus;duodenum;liver;spleen;kidney;brain;stomach;</t>
  </si>
  <si>
    <t xml:space="preserve">superior cervical ganglion;thyroid;white blood cells;whole blood;bone marrow;</t>
  </si>
  <si>
    <t xml:space="preserve">RIMS1</t>
  </si>
  <si>
    <t xml:space="preserve">TISSUE SPECIFICITY: Expressed in melanocytes (PubMed:23999003). Detected in brain and retina (PubMed:23999003). {ECO:0000269|PubMed:23999003}.; </t>
  </si>
  <si>
    <t xml:space="preserve">unclassifiable (Anatomical System);frontal lobe;cerebellum cortex;liver;brain;skeletal muscle;</t>
  </si>
  <si>
    <t xml:space="preserve">superior cervical ganglion;subthalamic nucleus;cerebellum peduncles;temporal lobe;globus pallidus;ciliary ganglion;atrioventricular node;trigeminal ganglion;parietal lobe;skin;skeletal muscle;cerebellum;</t>
  </si>
  <si>
    <t xml:space="preserve">RLTPR</t>
  </si>
  <si>
    <t xml:space="preserve">TISSUE SPECIFICITY: Expressed in all tissues tested, including thymus, spleen, colon, leukocytes, peripheral blood, skin, skin keratinocytes and skin fibroblasts. {ECO:0000269|PubMed:15588584}.; </t>
  </si>
  <si>
    <t xml:space="preserve">ovary;colon;parathyroid;fovea centralis;choroid;skin;retina;uterus;optic nerve;frontal lobe;endometrium;bone;testis;germinal center;brain;unclassifiable (Anatomical System);lymph node;heart;islets of Langerhans;blood;lens;pancreas;lung;placenta;macula lutea;visual apparatus;hippocampus;liver;spleen;cervix;kidney;mammary gland;thymus;</t>
  </si>
  <si>
    <t xml:space="preserve">RP1</t>
  </si>
  <si>
    <t xml:space="preserve">TISSUE SPECIFICITY: Expressed in retina. Not expressed in heart, brain, placenta, lung, liver, skeletal muscle, kidney, spleen and pancreas.; </t>
  </si>
  <si>
    <t xml:space="preserve">unclassifiable (Anatomical System);breast;macula lutea;fovea centralis;skeletal muscle;retina;</t>
  </si>
  <si>
    <t xml:space="preserve">superior cervical ganglion;ciliary ganglion;</t>
  </si>
  <si>
    <t xml:space="preserve">RPL5</t>
  </si>
  <si>
    <t xml:space="preserve">RSPH10B</t>
  </si>
  <si>
    <t xml:space="preserve">radial spoke head 10 homolog B (Chlamydomonas)</t>
  </si>
  <si>
    <t xml:space="preserve">unclassifiable (Anatomical System);endometrium;thyroid;placenta;adrenal medulla;testis;retina;</t>
  </si>
  <si>
    <t xml:space="preserve">RSPH10B2</t>
  </si>
  <si>
    <t xml:space="preserve">radial spoke head 10 homolog B2 (Chlamydomonas)</t>
  </si>
  <si>
    <t xml:space="preserve">unclassifiable (Anatomical System);lung;endometrium;thyroid;placenta;adrenal medulla;testis;retina;</t>
  </si>
  <si>
    <t xml:space="preserve">RTEL1</t>
  </si>
  <si>
    <t xml:space="preserve">regulator of telomere elongation helicase 1</t>
  </si>
  <si>
    <t xml:space="preserve">RTEL1-TNFRSF6B</t>
  </si>
  <si>
    <t xml:space="preserve">RTEL1-TNFRSF6B readthrough (NMD candidate)</t>
  </si>
  <si>
    <t xml:space="preserve">RTKN2</t>
  </si>
  <si>
    <t xml:space="preserve">TISSUE SPECIFICITY: Expressed in lymphocytes, CD4 positive T-cells and bone marrow-derived cells. Also expressed in lung, colon, thymus and brain. {ECO:0000269|PubMed:15504364}.; </t>
  </si>
  <si>
    <t xml:space="preserve">unclassifiable (Anatomical System);placenta;testis;</t>
  </si>
  <si>
    <t xml:space="preserve">testis - interstitial;testis - seminiferous tubule;testis;atrioventricular node;trigeminal ganglion;</t>
  </si>
  <si>
    <t xml:space="preserve">RUVBL1</t>
  </si>
  <si>
    <t xml:space="preserve">TISSUE SPECIFICITY: Ubiquitously expressed with high expression in heart, skeletal muscle and testis.; </t>
  </si>
  <si>
    <t xml:space="preserve">myocardium;medulla oblongata;ovary;sympathetic chain;skin;bone marrow;retina;prostate;optic nerve;endometrium;thyroid;germinal center;bladder;brain;tonsil;heart;cartilage;pharynx;blood;lens;skeletal muscle;breast;visual apparatus;macula lutea;liver;spleen;cervix;mammary gland;peripheral nerve;salivary gland;intestine;colon;parathyroid;fovea centralis;choroid;uterus;bone;testis;unclassifiable (Anatomical System);lymph node;islets of Langerhans;muscle;pancreas;lung;cornea;nasopharynx;placenta;duodenum;hypopharynx;head and neck;kidney;stomach;thymus;</t>
  </si>
  <si>
    <t xml:space="preserve">superior cervical ganglion;tumor;testis;trigeminal ganglion;</t>
  </si>
  <si>
    <t xml:space="preserve">RYR1</t>
  </si>
  <si>
    <t xml:space="preserve">TISSUE SPECIFICITY: Skeletal muscle and brain (cerebellum and hippocampus). {ECO:0000269|PubMed:9607712}.; </t>
  </si>
  <si>
    <t xml:space="preserve">ovary;colon;fovea centralis;choroid;skin;retina;uterus;optic nerve;frontal lobe;larynx;thyroid;bone;testis;brain;unclassifiable (Anatomical System);heart;muscle;lens;skeletal muscle;pancreas;lung;epididymis;placenta;macula lutea;hippocampus;hypopharynx;head and neck;cervix;kidney;</t>
  </si>
  <si>
    <t xml:space="preserve">tongue;skeletal muscle;</t>
  </si>
  <si>
    <t xml:space="preserve">SAA2</t>
  </si>
  <si>
    <t xml:space="preserve">serum amyloid A2</t>
  </si>
  <si>
    <t xml:space="preserve">TISSUE SPECIFICITY: Expressed by the liver; secreted in plasma.; </t>
  </si>
  <si>
    <t xml:space="preserve">unclassifiable (Anatomical System);skeletal muscle;uterus;pancreas;prostate;lung;larynx;nasopharynx;liver;testis;head and neck;brain;mammary gland;gall bladder;</t>
  </si>
  <si>
    <t xml:space="preserve">SAA2-SAA4</t>
  </si>
  <si>
    <t xml:space="preserve">SAA2-SAA4 readthrough</t>
  </si>
  <si>
    <t xml:space="preserve">SCAI</t>
  </si>
  <si>
    <t xml:space="preserve">unclassifiable (Anatomical System);heart;pituitary gland;germinal center;brain;</t>
  </si>
  <si>
    <t xml:space="preserve">dorsal root ganglion;superior cervical ganglion;testis - interstitial;globus pallidus;ciliary ganglion;atrioventricular node;trigeminal ganglion;skeletal muscle;skin;</t>
  </si>
  <si>
    <t xml:space="preserve">SEC14L4</t>
  </si>
  <si>
    <t xml:space="preserve">unclassifiable (Anatomical System);medulla oblongata;lymph node;hypothalamus;colon;skin;retina;bone marrow;uterus;prostate;optic nerve;lung;endometrium;thyroid;visual apparatus;testis;germinal center;kidney;brain;mammary gland;stomach;</t>
  </si>
  <si>
    <t xml:space="preserve">SEC24D</t>
  </si>
  <si>
    <t xml:space="preserve">TISSUE SPECIFICITY: Ubiquitously expressed, with higher amounts in placenta, pancreas, heart and liver.; </t>
  </si>
  <si>
    <t xml:space="preserve">ovary;salivary gland;intestine;colon;parathyroid;fovea centralis;skin;bone marrow;uterus;prostate;whole body;cochlea;endometrium;larynx;bone;pituitary gland;testis;germinal center;brain;bladder;unclassifiable (Anatomical System);lymph node;cartilage;heart;tongue;islets of Langerhans;adrenal cortex;pharynx;blood;skeletal muscle;breast;bile duct;pancreas;lung;mesenchyma;placenta;macula lutea;visual apparatus;liver;cervix;head and neck;kidney;mammary gland;stomach;peripheral nerve;</t>
  </si>
  <si>
    <t xml:space="preserve">superior cervical ganglion;atrioventricular node;trigeminal ganglion;skeletal muscle;</t>
  </si>
  <si>
    <t xml:space="preserve">SEPT2</t>
  </si>
  <si>
    <t xml:space="preserve">TISSUE SPECIFICITY: Widely expressed. Up-regulated in liver cancer. {ECO:0000269|PubMed:15915442, ECO:0000269|PubMed:19165576}.; </t>
  </si>
  <si>
    <t xml:space="preserve">lymphoreticular;medulla oblongata;smooth muscle;ovary;sympathetic chain;skin;retina;bone marrow;prostate;optic nerve;frontal lobe;endometrium;thyroid;germinal center;bladder;brain;heart;cartilage;nervous;spinal cord;pharynx;blood;lens;skeletal muscle;greater omentum;breast;macula lutea;visual apparatus;liver;alveolus;spleen;cervix;mammary gland;salivary gland;intestine;colon;parathyroid;fovea centralis;choroid;uterus;cerebral cortex;larynx;bone;testis;spinal ganglion;unclassifiable (Anatomical System);islets of Langerhans;muscle;bile duct;pancreas;lung;nasopharynx;placenta;duodenum;head and neck;kidney;stomach;thymus;</t>
  </si>
  <si>
    <t xml:space="preserve">amygdala;occipital lobe;olfactory bulb;hypothalamus;thyroid;spinal cord;prefrontal cortex;testis;atrioventricular node;parietal lobe;</t>
  </si>
  <si>
    <t xml:space="preserve">SERPING1</t>
  </si>
  <si>
    <t xml:space="preserve">medulla oblongata;smooth muscle;ovary;sympathetic chain;skin;bone marrow;retina;prostate;frontal lobe;endometrium;thyroid;iris;brain;heart;cartilage;tongue;blood;lens;skeletal muscle;breast;epididymis;visual apparatus;macula lutea;liver;spleen;mammary gland;colon;choroid;fovea centralis;uterus;whole body;cerebral cortex;larynx;bone;pituitary gland;testis;dura mater;spinal ganglion;unclassifiable (Anatomical System);meninges;islets of Langerhans;pancreas;lung;pia mater;adrenal gland;nasopharynx;placenta;head and neck;kidney;stomach;cerebellum;</t>
  </si>
  <si>
    <t xml:space="preserve">superior cervical ganglion;liver;atrioventricular node;</t>
  </si>
  <si>
    <t xml:space="preserve">SIDT2</t>
  </si>
  <si>
    <t xml:space="preserve">ovary;colon;fovea centralis;choroid;skin;retina;bone marrow;uterus;prostate;optic nerve;frontal lobe;larynx;bone;thyroid;testis;amniotic fluid;germinal center;brain;unclassifiable (Anatomical System);cartilage;heart;tongue;islets of Langerhans;muscle;blood;lens;breast;pancreas;lung;nasopharynx;placenta;macula lutea;visual apparatus;hypopharynx;duodenum;liver;spleen;head and neck;cervix;kidney;mammary gland;stomach;</t>
  </si>
  <si>
    <t xml:space="preserve">prostate;</t>
  </si>
  <si>
    <t xml:space="preserve">SLC25A19</t>
  </si>
  <si>
    <t xml:space="preserve">TISSUE SPECIFICITY: Expressed in all tissues examined except for placenta. Highest levels in colon, kidney, lung, testis, spleen, and brain. {ECO:0000269|PubMed:11226231}.; </t>
  </si>
  <si>
    <t xml:space="preserve">unclassifiable (Anatomical System);lymph node;cartilage;ovary;heart;pineal body;colon;blood;skin;skeletal muscle;bone marrow;breast;uterus;pancreas;whole body;lung;bone;placenta;liver;testis;kidney;germinal center;brain;aorta;stomach;</t>
  </si>
  <si>
    <t xml:space="preserve">SLC27A3</t>
  </si>
  <si>
    <t xml:space="preserve">ovary;salivary gland;intestine;colon;fovea centralis;choroid;skin;retina;bone marrow;uterus;prostate;optic nerve;endometrium;bone;testis;germinal center;brain;unclassifiable (Anatomical System);lymph node;heart;pharynx;blood;lens;lung;cornea;placenta;macula lutea;visual apparatus;liver;cervix;kidney;mammary gland;stomach;</t>
  </si>
  <si>
    <t xml:space="preserve">superior cervical ganglion;testis;</t>
  </si>
  <si>
    <t xml:space="preserve">SLC35F4</t>
  </si>
  <si>
    <t xml:space="preserve">unclassifiable (Anatomical System);brain;</t>
  </si>
  <si>
    <t xml:space="preserve">SLC39A4</t>
  </si>
  <si>
    <t xml:space="preserve">TISSUE SPECIFICITY: Highly expressed in kidney, small intestine, stomach, colon, jejunum and duodenum. {ECO:0000269|PubMed:12032886, ECO:0000269|PubMed:12068297}.; </t>
  </si>
  <si>
    <t xml:space="preserve">unclassifiable (Anatomical System);myocardium;medulla oblongata;ovary;heart;colon;parathyroid;blood;choroid;skin;breast;uterus;pancreas;optic nerve;lung;placenta;liver;duodenum;spleen;kidney;mammary gland;stomach;</t>
  </si>
  <si>
    <t xml:space="preserve">trigeminal ganglion;</t>
  </si>
  <si>
    <t xml:space="preserve">SLC39A5</t>
  </si>
  <si>
    <t xml:space="preserve">TISSUE SPECIFICITY: Expressed in liver, kidney, pancreas, small intestine, colon, spleen, fetal liver and fetal kidney. {ECO:0000269|PubMed:15322118}.; </t>
  </si>
  <si>
    <t xml:space="preserve">ovary;colon;parathyroid;choroid;fovea centralis;skin;retina;uterus;prostate;optic nerve;endometrium;testis;brain;unclassifiable (Anatomical System);heart;cartilage;lens;pancreas;lung;placenta;visual apparatus;macula lutea;liver;spleen;kidney;stomach;</t>
  </si>
  <si>
    <t xml:space="preserve">trigeminal ganglion;cingulate cortex;</t>
  </si>
  <si>
    <t xml:space="preserve">SLC9B1</t>
  </si>
  <si>
    <t xml:space="preserve">TISSUE SPECIFICITY: Expressed only in the testis. {ECO:0000269|PubMed:16850186}.; </t>
  </si>
  <si>
    <t xml:space="preserve">unclassifiable (Anatomical System);medulla oblongata;pancreas;lung;whole body;ovary;heart;islets of Langerhans;placenta;visual apparatus;hippocampus;testis;parathyroid;</t>
  </si>
  <si>
    <t xml:space="preserve">dorsal root ganglion;superior cervical ganglion;testis - interstitial;temporal lobe;atrioventricular node;skeletal muscle;skin;testis - seminiferous tubule;globus pallidus;appendix;testis;ciliary ganglion;trigeminal ganglion;</t>
  </si>
  <si>
    <t xml:space="preserve">SMCHD1</t>
  </si>
  <si>
    <t xml:space="preserve">smooth muscle;ovary;skin;bone marrow;retina;prostate;optic nerve;frontal lobe;cochlea;endometrium;germinal center;brain;heart;cartilage;blood;lens;skeletal muscle;breast;visual apparatus;macula lutea;liver;spleen;cervix;mammary gland;peripheral nerve;colon;parathyroid;choroid;fovea centralis;uterus;whole body;cerebral cortex;larynx;bone;testis;spinal ganglion;unclassifiable (Anatomical System);lymph node;lacrimal gland;islets of Langerhans;oral cavity;bile duct;pancreas;lung;adrenal gland;nasopharynx;placenta;head and neck;kidney;stomach;aorta;thymus;</t>
  </si>
  <si>
    <t xml:space="preserve">dorsal root ganglion;testis - interstitial;superior cervical ganglion;testis - seminiferous tubule;testis;ciliary ganglion;whole blood;trigeminal ganglion;skeletal muscle;</t>
  </si>
  <si>
    <t xml:space="preserve">SMU1</t>
  </si>
  <si>
    <t xml:space="preserve">SNAP25-AS1</t>
  </si>
  <si>
    <t xml:space="preserve">SNCA</t>
  </si>
  <si>
    <t xml:space="preserve">TISSUE SPECIFICITY: Expressed principally in brain but is also expressed in low concentrations in all tissues examined except in liver. Concentrated in presynaptic nerve terminals.; </t>
  </si>
  <si>
    <t xml:space="preserve">myocardium;ovary;salivary gland;colon;skin;uterus;prostate;whole body;frontal lobe;endometrium;bone;iris;testis;brain;bladder;amygdala;unclassifiable (Anatomical System);heart;islets of Langerhans;hypothalamus;pharynx;blood;breast;lung;adrenal gland;placenta;visual apparatus;liver;duodenum;spleen;kidney;mammary gland;</t>
  </si>
  <si>
    <t xml:space="preserve">amygdala;whole brain;dorsal root ganglion;superior cervical ganglion;medulla oblongata;occipital lobe;olfactory bulb;temporal lobe;atrioventricular node;pons;skin;bone marrow;subthalamic nucleus;fetal liver;prefrontal cortex;globus pallidus;appendix;ciliary ganglion;trigeminal ganglion;parietal lobe;cingulate cortex;</t>
  </si>
  <si>
    <t xml:space="preserve">SNHG14</t>
  </si>
  <si>
    <t xml:space="preserve">small nucleolar RNA host gene 14</t>
  </si>
  <si>
    <t xml:space="preserve">SNHG22</t>
  </si>
  <si>
    <t xml:space="preserve">small nucleolar RNA host gene 22</t>
  </si>
  <si>
    <t xml:space="preserve">SORBS2</t>
  </si>
  <si>
    <t xml:space="preserve">TISSUE SPECIFICITY: Abundantly expressed in heart. In cardiac muscle cells, located in the Z-disks of sarcomere. Also found, but to a lower extent, in small and large intestine, pancreas, thymus, colon, spleen, prostate, testis, brain, ovary and epithelial cells. In the pancreas, mainly expressed in acinar cells, duct cells and all cell types in islets (at protein level). Tends to be down-regulated in pancreatic adenocarcinomas ans metastases. {ECO:0000269|PubMed:11786189, ECO:0000269|PubMed:18559503, ECO:0000269|PubMed:9211900}.; </t>
  </si>
  <si>
    <t xml:space="preserve">myocardium;ovary;sympathetic chain;colon;parathyroid;fovea centralis;choroid;retina;bone marrow;uterus;prostate;optic nerve;whole body;frontal lobe;endometrium;thyroid;testis;brain;pineal gland;unclassifiable (Anatomical System);amygdala;heart;cartilage;islets of Langerhans;adrenal cortex;lens;skeletal muscle;breast;pancreas;lung;nasopharynx;trabecular meshwork;placenta;macula lutea;visual apparatus;liver;spleen;kidney;mammary gland;stomach;cerebellum;</t>
  </si>
  <si>
    <t xml:space="preserve">dorsal root ganglion;superior cervical ganglion;heart;adrenal gland;thyroid;prefrontal cortex;liver;adrenal cortex;atrioventricular node;fetal thyroid;skin;</t>
  </si>
  <si>
    <t xml:space="preserve">SP110</t>
  </si>
  <si>
    <t xml:space="preserve">TISSUE SPECIFICITY: Highly expressed in peripheral blood leukocytes and spleen. Detected at intermediate levels in thymus, prostate, testis, ovary, small intestine and colon, and at low levels in heart, brain, placenta, lung, liver, skeletal muscle, kidney and pancreas.; </t>
  </si>
  <si>
    <t xml:space="preserve">lymphoreticular;ovary;salivary gland;intestine;colon;parathyroid;fovea centralis;choroid;skin;bone marrow;uterus;prostate;whole body;bone;testis;germinal center;spinal ganglion;brain;bladder;tonsil;unclassifiable (Anatomical System);lymph node;cartilage;heart;islets of Langerhans;pharynx;blood;breast;lung;nasopharynx;placenta;macula lutea;visual apparatus;alveolus;liver;spleen;kidney;mammary gland;</t>
  </si>
  <si>
    <t xml:space="preserve">dorsal root ganglion;superior cervical ganglion;appendix;ciliary ganglion;white blood cells;trigeminal ganglion;whole blood;tonsil;skeletal muscle;</t>
  </si>
  <si>
    <t xml:space="preserve">SPAG6</t>
  </si>
  <si>
    <t xml:space="preserve">TISSUE SPECIFICITY: Highly expressed in testis. {ECO:0000269|PubMed:10493827}.; </t>
  </si>
  <si>
    <t xml:space="preserve">unclassifiable (Anatomical System);medulla oblongata;ovary;islets of Langerhans;parathyroid;fovea centralis;choroid;lens;retina;optic nerve;lung;placenta;macula lutea;testis;germinal center;brain;</t>
  </si>
  <si>
    <t xml:space="preserve">dorsal root ganglion;superior cervical ganglion;testis - interstitial;testis - seminiferous tubule;testis;atrioventricular node;trigeminal ganglion;skeletal muscle;</t>
  </si>
  <si>
    <t xml:space="preserve">SPANXC</t>
  </si>
  <si>
    <t xml:space="preserve">TISSUE SPECIFICITY: Detected in testis, melanoma and bladder carcinoma. {ECO:0000269|PubMed:10626816, ECO:0000269|PubMed:12758128}.; </t>
  </si>
  <si>
    <t xml:space="preserve">unclassifiable (Anatomical System);ovary;salivary gland;pharynx;colon;blood;breast;prostate;lung;visual apparatus;liver;testis;kidney;brain;bladder;</t>
  </si>
  <si>
    <t xml:space="preserve">SPATA17</t>
  </si>
  <si>
    <t xml:space="preserve">spermatogenesis associated 17</t>
  </si>
  <si>
    <t xml:space="preserve">SPATA17-AS1</t>
  </si>
  <si>
    <t xml:space="preserve">SPATA17 antisense RNA 1</t>
  </si>
  <si>
    <t xml:space="preserve">SPIRE1</t>
  </si>
  <si>
    <t xml:space="preserve">ovary;parotid gland;colon;parathyroid;fovea centralis;choroid;skin;retina;bone marrow;uterus;optic nerve;cochlea;larynx;bone;thyroid;testis;brain;gall bladder;unclassifiable (Anatomical System);cartilage;heart;islets of Langerhans;hypothalamus;adrenal cortex;blood;lens;skeletal muscle;bile duct;breast;pancreas;lung;placenta;macula lutea;liver;spleen;head and neck;cervix;kidney;mammary gland;stomach;aorta;</t>
  </si>
  <si>
    <t xml:space="preserve">STAMBP</t>
  </si>
  <si>
    <t xml:space="preserve">TISSUE SPECIFICITY: Ubiquitously expressed.; </t>
  </si>
  <si>
    <t xml:space="preserve">ovary;salivary gland;intestine;colon;parathyroid;fovea centralis;choroid;skin;retina;uterus;prostate;optic nerve;cochlea;cerebral cortex;endometrium;larynx;bone;thyroid;pituitary gland;testis;germinal center;brain;unclassifiable (Anatomical System);lymph node;cartilage;heart;hypothalamus;urinary;pharynx;blood;lens;skeletal muscle;breast;bile duct;pancreas;lung;cornea;placenta;macula lutea;visual apparatus;hippocampus;liver;spleen;head and neck;kidney;mammary gland;stomach;</t>
  </si>
  <si>
    <t xml:space="preserve">dorsal root ganglion;amygdala;superior cervical ganglion;hypothalamus;spinal cord;ciliary ganglion;atrioventricular node;trigeminal ganglion;parietal lobe;</t>
  </si>
  <si>
    <t xml:space="preserve">STARD9</t>
  </si>
  <si>
    <t xml:space="preserve">TISSUE SPECIFICITY: Expressed in the central nervous system, muscle cells (heart and skeletal muscle), pancreas, prostate and lung. {ECO:0000269|PubMed:16964419}.; </t>
  </si>
  <si>
    <t xml:space="preserve">unclassifiable (Anatomical System);heart;cartilage;skin;skeletal muscle;retina;uterus;breast;optic nerve;whole body;lung;frontal lobe;liver;testis;spleen;germinal center;kidney;spinal ganglion;brain;mammary gland;cerebellum;</t>
  </si>
  <si>
    <t xml:space="preserve">dorsal root ganglion;superior cervical ganglion;globus pallidus;ciliary ganglion;atrioventricular node;trigeminal ganglion;</t>
  </si>
  <si>
    <t xml:space="preserve">STIM1</t>
  </si>
  <si>
    <t xml:space="preserve">TISSUE SPECIFICITY: Ubiquitously expressed in various human primary cells and tumor cell lines. {ECO:0000269|PubMed:11004585, ECO:0000269|PubMed:11463338}.; </t>
  </si>
  <si>
    <t xml:space="preserve">lymphoreticular;ovary;colon;parathyroid;fovea centralis;choroid;skin;retina;bone marrow;uterus;prostate;optic nerve;whole body;frontal lobe;endometrium;bone;thyroid;pituitary gland;testis;brain;tonsil;unclassifiable (Anatomical System);lymph node;cartilage;heart;lacrimal gland;islets of Langerhans;blood;lens;bile duct;breast;pancreas;lung;placenta;macula lutea;visual apparatus;hypopharynx;alveolus;liver;head and neck;kidney;mammary gland;stomach;cerebellum;thymus;</t>
  </si>
  <si>
    <t xml:space="preserve">dorsal root ganglion;superior cervical ganglion;testis;globus pallidus;ciliary ganglion;caudate nucleus;atrioventricular node;trigeminal ganglion;skeletal muscle;</t>
  </si>
  <si>
    <t xml:space="preserve">STIP1</t>
  </si>
  <si>
    <t xml:space="preserve">lymphoreticular;ovary;salivary gland;intestine;colon;parathyroid;fovea centralis;skin;retina;bone marrow;uterus;prostate;frontal lobe;endometrium;oesophagus;larynx;bone;thyroid;iris;testis;amniotic fluid;brain;bladder;unclassifiable (Anatomical System);cartilage;heart;tongue;muscle;pharynx;blood;lens;skeletal muscle;breast;bile duct;pancreas;lung;epididymis;placenta;macula lutea;visual apparatus;duodenum;hypopharynx;liver;spleen;head and neck;cervix;kidney;mammary gland;stomach;thymus;</t>
  </si>
  <si>
    <t xml:space="preserve">whole brain;testis - interstitial;testis;cerebellum;</t>
  </si>
  <si>
    <t xml:space="preserve">STRC</t>
  </si>
  <si>
    <t xml:space="preserve">lung;frontal lobe;ovary;placenta;testis;colon;parathyroid;kidney;brain;stomach;</t>
  </si>
  <si>
    <t xml:space="preserve">SYCP1</t>
  </si>
  <si>
    <t xml:space="preserve">TISSUE SPECIFICITY: Testis.; </t>
  </si>
  <si>
    <t xml:space="preserve">SYNE1</t>
  </si>
  <si>
    <t xml:space="preserve">spectrin repeat containing, nuclear envelope 1</t>
  </si>
  <si>
    <t xml:space="preserve">TISSUE SPECIFICITY: Expressed in HeLa, A431, A172 and HaCaT cells (at protein level). Widely expressed. Highly expressed in skeletal and smooth muscles, heart, spleen, peripheral blood leukocytes, pancreas, cerebellum, stomach, kidney and placenta. Isoform GSRP- 56 is predominantly expressed in heart and skeletal muscle (at protein level). {ECO:0000269|PubMed:11792814, ECO:0000269|PubMed:11801724, ECO:0000269|PubMed:15093733, ECO:0000269|PubMed:16875688, ECO:0000269|PubMed:22518138}.; </t>
  </si>
  <si>
    <t xml:space="preserve">lymphoreticular;ovary;skin;bone marrow;retina;prostate;optic nerve;frontal lobe;endometrium;thyroid;germinal center;brain;heart;cartilage;spinal cord;blood;lens;skeletal muscle;breast;visual apparatus;macula lutea;liver;spleen;mammary gland;salivary gland;colon;parathyroid;choroid;fovea centralis;uterus;whole body;cerebral cortex;bone;testis;artery;unclassifiable (Anatomical System);islets of Langerhans;hypothalamus;muscle;lung;adrenal gland;nasopharynx;placenta;hippocampus;hypopharynx;head and neck;kidney;stomach;aorta;cerebellum;</t>
  </si>
  <si>
    <t xml:space="preserve">dorsal root ganglion;superior cervical ganglion;medulla oblongata;cerebellum peduncles;atrioventricular node;pons;skeletal muscle;subthalamic nucleus;prefrontal cortex;globus pallidus;appendix;ciliary ganglion;trigeminal ganglion;parietal lobe;cingulate cortex;</t>
  </si>
  <si>
    <t xml:space="preserve">TACC1</t>
  </si>
  <si>
    <t xml:space="preserve">TISSUE SPECIFICITY: Isoform 1, isoform 3 and isoform 5 are ubiquitous. Isoform 2 is strongly expressed in the brain, weakly detectable in lung and colon, and overexpressed in gastric cancer. Isoform 4 is not detected in normal tissues, but strong expression was found in gastric cancer tissues. Down-regulated in a subset of cases of breast cancer. {ECO:0000269|PubMed:12165861, ECO:0000269|PubMed:12547166}.; </t>
  </si>
  <si>
    <t xml:space="preserve">smooth muscle;ovary;sympathetic chain;skin;retina;bone marrow;prostate;optic nerve;frontal lobe;endometrium;thyroid;germinal center;brain;bladder;amygdala;heart;cartilage;tongue;urinary;adrenal cortex;pharynx;blood;lens;skeletal muscle;breast;trabecular meshwork;macula lutea;visual apparatus;liver;alveolus;spleen;cervix;mammary gland;peripheral nerve;salivary gland;intestine;colon;parathyroid;fovea centralis;choroid;vein;uterus;whole body;atrium;larynx;bone;pituitary gland;testis;spinal ganglion;artery;unclassifiable (Anatomical System);lymph node;islets of Langerhans;hypothalamus;muscle;bile duct;pancreas;lung;adrenal gland;nasopharynx;placenta;head and neck;kidney;stomach;aorta;cerebellum;</t>
  </si>
  <si>
    <t xml:space="preserve">dorsal root ganglion;amygdala;occipital lobe;superior cervical ganglion;subthalamic nucleus;olfactory bulb;prefrontal cortex;atrioventricular node;cingulate cortex;parietal lobe;</t>
  </si>
  <si>
    <t xml:space="preserve">TAF1</t>
  </si>
  <si>
    <t xml:space="preserve">TATA-box binding protein associated factor 1</t>
  </si>
  <si>
    <t xml:space="preserve">unclassifiable (Anatomical System);smooth muscle;colon;skin;retina;breast;uterus;pancreas;prostate;lung;endometrium;larynx;thyroid;placenta;hypopharynx;liver;testis;cervix;head and neck;spleen;germinal center;brain;peripheral nerve;thymus;</t>
  </si>
  <si>
    <t xml:space="preserve">superior cervical ganglion;globus pallidus;pons;trigeminal ganglion;skeletal muscle;</t>
  </si>
  <si>
    <t xml:space="preserve">TAF1B</t>
  </si>
  <si>
    <t xml:space="preserve">ovary;salivary gland;intestine;colon;skin;uterus;prostate;bone;thyroid;testis;brain;bladder;unclassifiable (Anatomical System);lymph node;heart;islets of Langerhans;hypothalamus;pharynx;blood;skeletal muscle;breast;lung;adrenal gland;nasopharynx;placenta;visual apparatus;liver;spleen;head and neck;kidney;stomach;</t>
  </si>
  <si>
    <t xml:space="preserve">superior cervical ganglion;trigeminal ganglion;skin;</t>
  </si>
  <si>
    <t xml:space="preserve">TAF4B</t>
  </si>
  <si>
    <t xml:space="preserve">TISSUE SPECIFICITY: Preferentially expressed in ovarian granulosa cells (at protein level). Highly expressed in B-cells. {ECO:0000269|PubMed:16088961, ECO:0000269|PubMed:8858156}.; </t>
  </si>
  <si>
    <t xml:space="preserve">unclassifiable (Anatomical System);colon;kidney;stomach;retina;</t>
  </si>
  <si>
    <t xml:space="preserve">TANGO2</t>
  </si>
  <si>
    <t xml:space="preserve">TAS1R3</t>
  </si>
  <si>
    <t xml:space="preserve">lens;</t>
  </si>
  <si>
    <t xml:space="preserve">dorsal root ganglion;subthalamic nucleus;superior cervical ganglion;occipital lobe;ciliary ganglion;pons;atrioventricular node;trigeminal ganglion;</t>
  </si>
  <si>
    <t xml:space="preserve">TECPR2</t>
  </si>
  <si>
    <t xml:space="preserve">TISSUE SPECIFICITY: Detected in skin fibroblast (at protein level). {ECO:0000269|PubMed:23176824}.; </t>
  </si>
  <si>
    <t xml:space="preserve">unclassifiable (Anatomical System);smooth muscle;lung;frontal lobe;heart;thyroid;hippocampus;testis;colon;kidney;germinal center;brain;skeletal muscle;</t>
  </si>
  <si>
    <t xml:space="preserve">amygdala;subthalamic nucleus;medulla oblongata;superior cervical ganglion;prefrontal cortex;testis;pons;trigeminal ganglion;cingulate cortex;parietal lobe;skeletal muscle;</t>
  </si>
  <si>
    <t xml:space="preserve">TEKT4</t>
  </si>
  <si>
    <t xml:space="preserve">unclassifiable (Anatomical System);heart;ovary;blood;parathyroid;skin;retina;uterus;lung;endometrium;placenta;liver;testis;spleen;kidney;</t>
  </si>
  <si>
    <t xml:space="preserve">dorsal root ganglion;superior cervical ganglion;testis;pons;trigeminal ganglion;</t>
  </si>
  <si>
    <t xml:space="preserve">THOP1</t>
  </si>
  <si>
    <t xml:space="preserve">medulla oblongata;ovary;colon;fovea centralis;choroid;skin;retina;bone marrow;uterus;prostate;optic nerve;frontal lobe;endometrium;bone;thyroid;iris;testis;germinal center;brain;bladder;tonsil;unclassifiable (Anatomical System);lymph node;cartilage;heart;islets of Langerhans;muscle;blood;lens;breast;pancreas;lung;placenta;macula lutea;visual apparatus;duodenum;hypopharynx;liver;spleen;head and neck;cervix;kidney;mammary gland;stomach;</t>
  </si>
  <si>
    <t xml:space="preserve">subthalamic nucleus;superior cervical ganglion;testis - interstitial;testis - seminiferous tubule;liver;ciliary ganglion;</t>
  </si>
  <si>
    <t xml:space="preserve">TMEM70</t>
  </si>
  <si>
    <t xml:space="preserve">lymphoreticular;ovary;colon;parathyroid;skin;uterus;prostate;optic nerve;frontal lobe;endometrium;thyroid;bone;testis;germinal center;brain;unclassifiable (Anatomical System);lymph node;heart;muscle;adrenal cortex;breast;lung;trabecular meshwork;placenta;liver;spleen;cervix;kidney;mammary gland;thymus;</t>
  </si>
  <si>
    <t xml:space="preserve">whole brain;skeletal muscle;</t>
  </si>
  <si>
    <t xml:space="preserve">TMEM79</t>
  </si>
  <si>
    <t xml:space="preserve">TISSUE SPECIFICITY: Expressed in the epidermis of the skin. Expressed in epithelial cells of the outermost layer of the stratum granulosum (SG) and hair follicles (at protein level). {ECO:0000269|PubMed:24060273, ECO:0000269|PubMed:24084074}.; </t>
  </si>
  <si>
    <t xml:space="preserve">unclassifiable (Anatomical System);heart;oral cavity;colon;fovea centralis;choroid;lens;skin;retina;bile duct;prostate;optic nerve;whole body;lung;frontal lobe;endometrium;mesenchyma;bone;macula lutea;cervix;brain;</t>
  </si>
  <si>
    <t xml:space="preserve">TNNI3K</t>
  </si>
  <si>
    <t xml:space="preserve">1.80292277016875e-38</t>
  </si>
  <si>
    <t xml:space="preserve">TNNI3 interacting kinase</t>
  </si>
  <si>
    <t xml:space="preserve">TPP1</t>
  </si>
  <si>
    <t xml:space="preserve">TISSUE SPECIFICITY: Detected in all tissues examined with highest levels in heart and placenta and relatively similar levels in other tissues.; </t>
  </si>
  <si>
    <t xml:space="preserve">lymphoreticular;smooth muscle;ovary;skin;retina;bone marrow;prostate;optic nerve;frontal lobe;endometrium;thyroid;iris;germinal center;brain;gall bladder;amygdala;heart;cartilage;tongue;pineal body;urinary;adrenal cortex;blood;cerebrum;lens;skeletal muscle;breast;macula lutea;liver;spleen;cervix;mammary gland;colon;parathyroid;fovea centralis;choroid;uterus;larynx;bone;pituitary gland;testis;unclassifiable (Anatomical System);lymph node;islets of Langerhans;bile duct;pancreas;lung;placenta;hypopharynx;head and neck;kidney;stomach;thymus;</t>
  </si>
  <si>
    <t xml:space="preserve">dorsal root ganglion;superior cervical ganglion;adrenal gland;placenta;kidney;trigeminal ganglion;bone marrow;</t>
  </si>
  <si>
    <t xml:space="preserve">TPTE</t>
  </si>
  <si>
    <t xml:space="preserve">TISSUE SPECIFICITY: Exclusively expressed in testis. {ECO:0000269|PubMed:10598804}.; </t>
  </si>
  <si>
    <t xml:space="preserve">dorsal root ganglion;superior cervical ganglion;testis - interstitial;testis - seminiferous tubule;appendix;testis;ciliary ganglion;atrioventricular node;trigeminal ganglion;</t>
  </si>
  <si>
    <t xml:space="preserve">TRAF3IP2</t>
  </si>
  <si>
    <t xml:space="preserve">TRAF3 interacting protein 2</t>
  </si>
  <si>
    <t xml:space="preserve">ovary;colon;parathyroid;fovea centralis;choroid;skin;retina;uterus;prostate;optic nerve;endometrium;larynx;bone;iris;testis;brain;unclassifiable (Anatomical System);cartilage;heart;tongue;islets of Langerhans;spinal cord;pharynx;blood;lens;skeletal muscle;bile duct;breast;pancreas;lung;trabecular meshwork;placenta;macula lutea;liver;alveolus;spleen;head and neck;cervix;kidney;mammary gland;stomach;thymus;</t>
  </si>
  <si>
    <t xml:space="preserve">prostate;superior cervical ganglion;adipose tissue;lung;placenta;ciliary ganglion;trigeminal ganglion;</t>
  </si>
  <si>
    <t xml:space="preserve">TRAF3IP2-AS1</t>
  </si>
  <si>
    <t xml:space="preserve">TRAF3IP2 antisense RNA 1</t>
  </si>
  <si>
    <t xml:space="preserve">TRDN</t>
  </si>
  <si>
    <t xml:space="preserve">unclassifiable (Anatomical System);lung;whole body;macula lutea;developmental;liver;testis;fovea centralis;skeletal muscle;retina;</t>
  </si>
  <si>
    <t xml:space="preserve">subthalamic nucleus;superior cervical ganglion;tongue;thyroid;ciliary ganglion;atrioventricular node;pons;trigeminal ganglion;skeletal muscle;</t>
  </si>
  <si>
    <t xml:space="preserve">TRIM5</t>
  </si>
  <si>
    <t xml:space="preserve">colon;parathyroid;skin;uterus;prostate;whole body;thyroid;brain;bladder;pineal gland;unclassifiable (Anatomical System);heart;cartilage;lacrimal gland;muscle;adrenal cortex;blood;breast;pancreas;adrenal gland;placenta;liver;hypopharynx;spleen;head and neck;cervix;kidney;mammary gland;stomach;peripheral nerve;</t>
  </si>
  <si>
    <t xml:space="preserve">TRIML2</t>
  </si>
  <si>
    <t xml:space="preserve">unclassifiable (Anatomical System);uterus;</t>
  </si>
  <si>
    <t xml:space="preserve">superior cervical ganglion;ciliary ganglion;pons;atrioventricular node;trigeminal ganglion;</t>
  </si>
  <si>
    <t xml:space="preserve">TSEN34</t>
  </si>
  <si>
    <t xml:space="preserve">ovary;colon;parathyroid;fovea centralis;skin;retina;bone marrow;uterus;prostate;whole body;endometrium;testis;amniotic fluid;brain;tonsil;unclassifiable (Anatomical System);lymph node;heart;hypothalamus;blood;pancreas;lung;placenta;macula lutea;visual apparatus;duodenum;alveolus;liver;spleen;kidney;mammary gland;stomach;</t>
  </si>
  <si>
    <t xml:space="preserve">superior cervical ganglion;testis;trigeminal ganglion;whole blood;</t>
  </si>
  <si>
    <t xml:space="preserve">TTC14</t>
  </si>
  <si>
    <t xml:space="preserve">ovary;colon;parathyroid;fovea centralis;choroid;skin;retina;bone marrow;uterus;prostate;optic nerve;whole body;cochlea;endometrium;bone;testis;germinal center;brain;unclassifiable (Anatomical System);lymph node;cartilage;heart;tongue;hypothalamus;blood;lens;skeletal muscle;breast;bile duct;pancreas;lung;nasopharynx;placenta;macula lutea;visual apparatus;liver;spleen;cervix;kidney;mammary gland;stomach;aorta;</t>
  </si>
  <si>
    <t xml:space="preserve">dorsal root ganglion;prefrontal cortex;ciliary ganglion;atrioventricular node;</t>
  </si>
  <si>
    <t xml:space="preserve">TTC27</t>
  </si>
  <si>
    <t xml:space="preserve">medulla oblongata;ovary;salivary gland;intestine;colon;skin;bone marrow;prostate;whole body;cochlea;endometrium;thyroid;bone;testis;brain;unclassifiable (Anatomical System);lymph node;muscle;pharynx;blood;skeletal muscle;pancreas;lung;cornea;placenta;visual apparatus;liver;spleen;head and neck;cervix;kidney;mammary gland;stomach;</t>
  </si>
  <si>
    <t xml:space="preserve">testis - interstitial;trigeminal ganglion;</t>
  </si>
  <si>
    <t xml:space="preserve">TTN</t>
  </si>
  <si>
    <t xml:space="preserve">TISSUE SPECIFICITY: Isoforms 3, 7 and 8 are expressed in cardiac muscle. Isoform 4 is expressed in vertebrate skeletal muscle. Isoform 6 is expressed in skeletal muscle (at protein level). {ECO:0000269|PubMed:11717165, ECO:0000269|PubMed:7819249}.; </t>
  </si>
  <si>
    <t xml:space="preserve">myocardium;ovary;colon;parathyroid;choroid;fovea centralis;skin;bone marrow;retina;uterus;prostate;whole body;optic nerve;atrium;frontal lobe;larynx;thyroid;bone;testis;germinal center;unclassifiable (Anatomical System);heart;tongue;muscle;spinal cord;blood;lens;skeletal muscle;pancreas;lung;nasopharynx;placenta;visual apparatus;macula lutea;alveolus;liver;spleen;head and neck;kidney;peripheral nerve;</t>
  </si>
  <si>
    <t xml:space="preserve">superior cervical ganglion;tongue;thyroid;globus pallidus;testis;atrioventricular node;pons;fetal thyroid;trigeminal ganglion;skeletal muscle;</t>
  </si>
  <si>
    <t xml:space="preserve">U2SURP</t>
  </si>
  <si>
    <t xml:space="preserve">ovary;skin;bone marrow;retina;prostate;optic nerve;endometrium;thyroid;amniotic fluid;germinal center;bladder;brain;heart;cartilage;spinal cord;adrenal cortex;pharynx;blood;lens;skeletal muscle;breast;trabecular meshwork;visual apparatus;macula lutea;liver;cervix;spleen;mammary gland;salivary gland;intestine;colon;parathyroid;choroid;fovea centralis;uterus;whole body;pituitary gland;testis;pineal gland;unclassifiable (Anatomical System);lymph node;lacrimal gland;lung;adrenal gland;nasopharynx;placenta;duodenum;kidney;stomach;aorta;</t>
  </si>
  <si>
    <t xml:space="preserve">amygdala;ciliary ganglion;</t>
  </si>
  <si>
    <t xml:space="preserve">UBE3A</t>
  </si>
  <si>
    <t xml:space="preserve">ubiquitin protein ligase E3A</t>
  </si>
  <si>
    <t xml:space="preserve">smooth muscle;ovary;sympathetic chain;skin;retina;bone marrow;prostate;optic nerve;cochlea;endometrium;thyroid;germinal center;brain;amygdala;heart;cartilage;tongue;adrenal cortex;pharynx;blood;lens;skeletal muscle;breast;trabecular meshwork;macula lutea;visual apparatus;liver;spleen;cervix;mammary gland;peripheral nerve;salivary gland;intestine;colon;parathyroid;fovea centralis;choroid;uterus;whole body;larynx;bone;pituitary gland;testis;dura mater;artery;pineal gland;unclassifiable (Anatomical System);meninges;lymph node;islets of Langerhans;hypothalamus;bile duct;pancreas;lung;pia mater;cornea;nasopharynx;placenta;hypopharynx;head and neck;kidney;stomach;aorta;</t>
  </si>
  <si>
    <t xml:space="preserve">dorsal root ganglion;amygdala;superior cervical ganglion;testis - interstitial;occipital lobe;cerebellum peduncles;caudate nucleus;atrioventricular node;pons;skeletal muscle;prefrontal cortex;globus pallidus;testis;ciliary ganglion;trigeminal ganglion;cingulate cortex;parietal lobe;</t>
  </si>
  <si>
    <t xml:space="preserve">UQCRC1</t>
  </si>
  <si>
    <t xml:space="preserve">myocardium;lymphoreticular;ovary;umbilical cord;skin;retina;bone marrow;prostate;optic nerve;frontal lobe;endometrium;thyroid;germinal center;bladder;brain;heart;cartilage;tongue;nervous;pineal body;adrenal cortex;pharynx;blood;lens;skeletal muscle;breast;macula lutea;visual apparatus;liver;alveolus;spleen;cervix;mammary gland;salivary gland;intestine;colon;parathyroid;fovea centralis;choroid;uterus;larynx;bone;pituitary gland;testis;unclassifiable (Anatomical System);lymph node;islets of Langerhans;muscle;pancreas;lung;placenta;head and neck;kidney;stomach;</t>
  </si>
  <si>
    <t xml:space="preserve">whole brain;thalamus;lung;heart;liver;testis;kidney;skeletal muscle;</t>
  </si>
  <si>
    <t xml:space="preserve">USF3</t>
  </si>
  <si>
    <t xml:space="preserve">USP39</t>
  </si>
  <si>
    <t xml:space="preserve">ovary;umbilical cord;colon;parathyroid;skin;retina;bone marrow;uterus;prostate;whole body;endometrium;bone;thyroid;testis;brain;unclassifiable (Anatomical System);lymph node;cartilage;heart;islets of Langerhans;muscle;adrenal cortex;blood;lens;bile duct;pancreas;lung;placenta;visual apparatus;liver;hypopharynx;spleen;head and neck;cervix;kidney;mammary gland;stomach;</t>
  </si>
  <si>
    <t xml:space="preserve">superior cervical ganglion;tumor;white blood cells;skeletal muscle;thymus;</t>
  </si>
  <si>
    <t xml:space="preserve">USP6</t>
  </si>
  <si>
    <t xml:space="preserve">TISSUE SPECIFICITY: Testis specific. Expressed in various cancer cell lines. {ECO:0000269|PubMed:12604796, ECO:0000269|PubMed:1565468}.; </t>
  </si>
  <si>
    <t xml:space="preserve">myocardium;ovary;salivary gland;sympathetic chain;colon;fovea centralis;choroid;skin;retina;uterus;optic nerve;atrium;whole body;frontal lobe;endometrium;larynx;bone;testis;germinal center;brain;unclassifiable (Anatomical System);heart;islets of Langerhans;lens;skeletal muscle;breast;pancreas;lung;adrenal gland;placenta;macula lutea;head and neck;mammary gland;stomach;</t>
  </si>
  <si>
    <t xml:space="preserve">amygdala;testis - interstitial;subthalamic nucleus;fetal brain;testis - seminiferous tubule;prefrontal cortex;testis;atrioventricular node;parietal lobe;</t>
  </si>
  <si>
    <t xml:space="preserve">VPRBP</t>
  </si>
  <si>
    <t xml:space="preserve">TISSUE SPECIFICITY: Ubiquitously expressed. {ECO:0000269|PubMed:11223251}.; </t>
  </si>
  <si>
    <t xml:space="preserve">ovary;colon;parathyroid;fovea centralis;choroid;skin;retina;bone marrow;uterus;prostate;optic nerve;cochlea;endometrium;larynx;bone;thyroid;pituitary gland;testis;germinal center;brain;unclassifiable (Anatomical System);lymph node;cartilage;heart;islets of Langerhans;blood;lens;skeletal muscle;breast;lung;placenta;macula lutea;visual apparatus;liver;amnion;spleen;head and neck;kidney;mammary gland;stomach;</t>
  </si>
  <si>
    <t xml:space="preserve">testis - interstitial;superior cervical ganglion;testis - seminiferous tubule;testis;ciliary ganglion;trigeminal ganglion;</t>
  </si>
  <si>
    <t xml:space="preserve">WDR11</t>
  </si>
  <si>
    <t xml:space="preserve">ovary;salivary gland;sympathetic chain;intestine;colon;parathyroid;fovea centralis;skin;retina;bone marrow;uterus;prostate;whole body;frontal lobe;cochlea;endometrium;bone;thyroid;testis;germinal center;brain;bladder;unclassifiable (Anatomical System);lymph node;cartilage;heart;islets of Langerhans;pharynx;blood;skeletal muscle;breast;pancreas;lung;nasopharynx;trabecular meshwork;placenta;macula lutea;visual apparatus;hippocampus;alveolus;liver;spleen;head and neck;kidney;mammary gland;stomach;</t>
  </si>
  <si>
    <t xml:space="preserve">superior cervical ganglion;spinal cord;</t>
  </si>
  <si>
    <t xml:space="preserve">XPO7</t>
  </si>
  <si>
    <t xml:space="preserve">TISSUE SPECIFICITY: Strong expression in testis, thyroid and bone marrow, low expression in lung, liver and small intestine, no expression in thymus, and remaining tissues studied have moderate expression. Expressed in red blood cells; overexpressed in red blood cells (cytoplasm) of patients with hereditary non- spherocytic hemolytic anemia of unknown etiology. {ECO:0000269|PubMed:11071879, ECO:0000269|PubMed:22509282}.; </t>
  </si>
  <si>
    <t xml:space="preserve">ovary;salivary gland;sympathetic chain;intestine;colon;fovea centralis;choroid;skin;retina;bone marrow;uterus;prostate;optic nerve;frontal lobe;cerebral cortex;bone;thyroid;pituitary gland;testis;germinal center;spinal ganglion;brain;bladder;unclassifiable (Anatomical System);lymph node;heart;islets of Langerhans;hypothalamus;pharynx;blood;lens;skeletal muscle;breast;pancreas;lung;cornea;nasopharynx;placenta;macula lutea;visual apparatus;duodenum;liver;spleen;head and neck;cervix;kidney;stomach;thymus;</t>
  </si>
  <si>
    <t xml:space="preserve">fetal liver;superior cervical ganglion;bone marrow;</t>
  </si>
  <si>
    <t xml:space="preserve">YPEL2</t>
  </si>
  <si>
    <t xml:space="preserve">TISSUE SPECIFICITY: Widely expressed. Detected in fetal and adult kidney, heart, liver, lung and skeletal muscle. {ECO:0000269|PubMed:15556292}.; </t>
  </si>
  <si>
    <t xml:space="preserve">unclassifiable (Anatomical System);breast;uterus;lung;islets of Langerhans;iris;colon;blood;kidney;germinal center;brain;</t>
  </si>
  <si>
    <t xml:space="preserve">superior cervical ganglion;occipital lobe;subthalamic nucleus;globus pallidus;ciliary ganglion;trigeminal ganglion;</t>
  </si>
  <si>
    <t xml:space="preserve">ZEB1</t>
  </si>
  <si>
    <t xml:space="preserve">TISSUE SPECIFICITY: Colocalizes with SMARCA4/BRG1 in E-cadherin- negative cells from established lines, and stroma of normal colon as well as in de-differentiated epithelial cells at the invasion front of colorectal carcinomas (at protein level). Expressed in heart and skeletal muscle, but not in liver, spleen, or pancreas. {ECO:0000269|PubMed:20418909}.; </t>
  </si>
  <si>
    <t xml:space="preserve">lymphoreticular;ovary;salivary gland;intestine;colon;parathyroid;skin;retina;bone marrow;uterus;prostate;whole body;endometrium;bone;testis;germinal center;brain;artery;bladder;unclassifiable (Anatomical System);cartilage;heart;tongue;islets of Langerhans;hypothalamus;spinal cord;pharynx;blood;skeletal muscle;breast;pancreas;lung;placenta;visual apparatus;liver;spleen;head and neck;kidney;aorta;stomach;</t>
  </si>
  <si>
    <t xml:space="preserve">uterus;superior cervical ganglion;occipital lobe;adipose tissue;spinal cord;atrioventricular node;</t>
  </si>
  <si>
    <t xml:space="preserve">ZNF530</t>
  </si>
  <si>
    <t xml:space="preserve">unclassifiable (Anatomical System);prostate;lung;blood;</t>
  </si>
  <si>
    <t xml:space="preserve">ZNF787</t>
  </si>
  <si>
    <t xml:space="preserve">uterus;lung;whole body;ovary;heart;testis;colon;blood;brain;mammary gland;skin;thymus;</t>
  </si>
  <si>
    <t xml:space="preserve">medulla oblongata;adrenal cortex;pons;</t>
  </si>
</sst>
</file>

<file path=xl/styles.xml><?xml version="1.0" encoding="utf-8"?>
<styleSheet xmlns="http://schemas.openxmlformats.org/spreadsheetml/2006/main">
  <numFmts count="1">
    <numFmt numFmtId="164" formatCode="General"/>
  </numFmts>
  <fonts count="5">
    <font>
      <sz val="11"/>
      <color rgb="FF000000"/>
      <name val="Calibri"/>
      <family val="2"/>
      <charset val="1"/>
    </font>
    <font>
      <sz val="10"/>
      <name val="Arial"/>
      <family val="0"/>
    </font>
    <font>
      <sz val="10"/>
      <name val="Arial"/>
      <family val="0"/>
    </font>
    <font>
      <sz val="10"/>
      <name val="Arial"/>
      <family val="0"/>
    </font>
    <font>
      <b val="true"/>
      <sz val="11"/>
      <name val="Cambria"/>
      <family val="0"/>
      <charset val="1"/>
    </font>
  </fonts>
  <fills count="5">
    <fill>
      <patternFill patternType="none"/>
    </fill>
    <fill>
      <patternFill patternType="gray125"/>
    </fill>
    <fill>
      <patternFill patternType="solid">
        <fgColor rgb="FF81D41A"/>
        <bgColor rgb="FF999999"/>
      </patternFill>
    </fill>
    <fill>
      <patternFill patternType="solid">
        <fgColor rgb="FF729FCF"/>
        <bgColor rgb="FF999999"/>
      </patternFill>
    </fill>
    <fill>
      <patternFill patternType="solid">
        <fgColor rgb="FF999999"/>
        <bgColor rgb="FF808080"/>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29FC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390"/>
  <sheetViews>
    <sheetView showFormulas="false" showGridLines="true" showRowColHeaders="true" showZeros="true" rightToLeft="false" tabSelected="true" showOutlineSymbols="true" defaultGridColor="true" view="normal" topLeftCell="A343" colorId="64" zoomScale="100" zoomScaleNormal="100" zoomScalePageLayoutView="100" workbookViewId="0">
      <selection pane="topLeft" activeCell="A171" activeCellId="0" sqref="170:171"/>
    </sheetView>
  </sheetViews>
  <sheetFormatPr defaultColWidth="8.6953125" defaultRowHeight="15" zeroHeight="false" outlineLevelRow="0" outlineLevelCol="0"/>
  <cols>
    <col collapsed="false" customWidth="true" hidden="false" outlineLevel="0" max="4" min="4" style="0" width="12.9"/>
    <col collapsed="false" customWidth="true" hidden="false" outlineLevel="0" max="27" min="27" style="0" width="30.28"/>
    <col collapsed="false" customWidth="true" hidden="false" outlineLevel="0" max="28" min="28" style="0" width="30.02"/>
    <col collapsed="false" customWidth="true" hidden="false" outlineLevel="0" max="33" min="33" style="0" width="40.15"/>
  </cols>
  <sheetData>
    <row r="1" customFormat="false" ht="15" hidden="false" customHeight="fals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row>
    <row r="2" s="2" customFormat="true" ht="13.8" hidden="false" customHeight="false" outlineLevel="0" collapsed="false">
      <c r="B2" s="2" t="str">
        <f aca="false">HYPERLINK("https://genome.ucsc.edu/cgi-bin/hgTracks?db=hg19&amp;position=chr14%3A74947404%2D74947404", "chr14:74947404")</f>
        <v>chr14:74947404</v>
      </c>
      <c r="C2" s="2" t="s">
        <v>38</v>
      </c>
      <c r="D2" s="2" t="n">
        <v>74947404</v>
      </c>
      <c r="E2" s="2" t="n">
        <v>74947404</v>
      </c>
      <c r="F2" s="2" t="s">
        <v>39</v>
      </c>
      <c r="G2" s="2" t="s">
        <v>40</v>
      </c>
      <c r="H2" s="2" t="s">
        <v>41</v>
      </c>
      <c r="I2" s="2" t="s">
        <v>42</v>
      </c>
      <c r="J2" s="2" t="s">
        <v>43</v>
      </c>
      <c r="K2" s="2" t="s">
        <v>44</v>
      </c>
      <c r="L2" s="2" t="str">
        <f aca="false">HYPERLINK("https://www.ncbi.nlm.nih.gov/snp/rs140130028", "rs140130028")</f>
        <v>rs140130028</v>
      </c>
      <c r="M2" s="2" t="str">
        <f aca="false">HYPERLINK("https://www.genecards.org/Search/Keyword?queryString=%5Baliases%5D(%20NPC2%20)&amp;keywords=NPC2", "NPC2")</f>
        <v>NPC2</v>
      </c>
      <c r="N2" s="2" t="s">
        <v>45</v>
      </c>
      <c r="O2" s="2" t="s">
        <v>46</v>
      </c>
      <c r="P2" s="2" t="s">
        <v>47</v>
      </c>
      <c r="Q2" s="2" t="n">
        <v>0.0071</v>
      </c>
      <c r="R2" s="2" t="n">
        <v>0.0071</v>
      </c>
      <c r="S2" s="2" t="n">
        <v>0.0072</v>
      </c>
      <c r="T2" s="2" t="n">
        <v>-1</v>
      </c>
      <c r="U2" s="2" t="n">
        <v>0.008</v>
      </c>
      <c r="V2" s="2" t="s">
        <v>48</v>
      </c>
      <c r="W2" s="2" t="s">
        <v>49</v>
      </c>
      <c r="X2" s="2" t="s">
        <v>50</v>
      </c>
      <c r="Y2" s="2" t="s">
        <v>50</v>
      </c>
      <c r="Z2" s="2" t="s">
        <v>51</v>
      </c>
      <c r="AA2" s="2" t="s">
        <v>50</v>
      </c>
      <c r="AB2" s="2" t="s">
        <v>52</v>
      </c>
      <c r="AC2" s="2" t="s">
        <v>53</v>
      </c>
      <c r="AD2" s="2" t="s">
        <v>54</v>
      </c>
      <c r="AE2" s="2" t="s">
        <v>55</v>
      </c>
      <c r="AF2" s="2" t="s">
        <v>56</v>
      </c>
      <c r="AG2" s="2" t="s">
        <v>57</v>
      </c>
      <c r="AH2" s="2" t="s">
        <v>58</v>
      </c>
      <c r="AI2" s="2" t="s">
        <v>50</v>
      </c>
      <c r="AJ2" s="2" t="s">
        <v>50</v>
      </c>
      <c r="AK2" s="2" t="s">
        <v>50</v>
      </c>
      <c r="AL2" s="2" t="s">
        <v>50</v>
      </c>
    </row>
    <row r="3" s="2" customFormat="true" ht="13.8" hidden="false" customHeight="false" outlineLevel="0" collapsed="false">
      <c r="B3" s="2" t="str">
        <f aca="false">HYPERLINK("https://genome.ucsc.edu/cgi-bin/hgTracks?db=hg19&amp;position=chr15%3A75641682%2D75641682", "chr15:75641682")</f>
        <v>chr15:75641682</v>
      </c>
      <c r="C3" s="2" t="s">
        <v>59</v>
      </c>
      <c r="D3" s="2" t="n">
        <v>75641682</v>
      </c>
      <c r="E3" s="2" t="n">
        <v>75641682</v>
      </c>
      <c r="F3" s="2" t="s">
        <v>40</v>
      </c>
      <c r="G3" s="2" t="s">
        <v>39</v>
      </c>
      <c r="H3" s="2" t="s">
        <v>60</v>
      </c>
      <c r="I3" s="2" t="s">
        <v>61</v>
      </c>
      <c r="J3" s="2" t="s">
        <v>62</v>
      </c>
      <c r="K3" s="2" t="s">
        <v>63</v>
      </c>
      <c r="L3" s="2" t="str">
        <f aca="false">HYPERLINK("https://www.ncbi.nlm.nih.gov/snp/rs5745908", "rs5745908")</f>
        <v>rs5745908</v>
      </c>
      <c r="M3" s="2" t="str">
        <f aca="false">HYPERLINK("https://www.genecards.org/Search/Keyword?queryString=%5Baliases%5D(%20NEIL1%20)&amp;keywords=NEIL1", "NEIL1")</f>
        <v>NEIL1</v>
      </c>
      <c r="N3" s="2" t="s">
        <v>64</v>
      </c>
      <c r="O3" s="2" t="s">
        <v>50</v>
      </c>
      <c r="P3" s="2" t="s">
        <v>65</v>
      </c>
      <c r="Q3" s="2" t="n">
        <v>0.0118</v>
      </c>
      <c r="R3" s="2" t="n">
        <v>0.0123</v>
      </c>
      <c r="S3" s="2" t="n">
        <v>0.0144</v>
      </c>
      <c r="T3" s="2" t="n">
        <v>-1</v>
      </c>
      <c r="U3" s="2" t="n">
        <v>0.0203</v>
      </c>
      <c r="V3" s="2" t="s">
        <v>66</v>
      </c>
      <c r="W3" s="2" t="s">
        <v>49</v>
      </c>
      <c r="X3" s="2" t="s">
        <v>49</v>
      </c>
      <c r="Y3" s="2" t="s">
        <v>67</v>
      </c>
      <c r="Z3" s="2" t="s">
        <v>68</v>
      </c>
      <c r="AA3" s="2" t="s">
        <v>50</v>
      </c>
      <c r="AB3" s="2" t="s">
        <v>69</v>
      </c>
      <c r="AC3" s="2" t="s">
        <v>53</v>
      </c>
      <c r="AD3" s="2" t="s">
        <v>54</v>
      </c>
      <c r="AE3" s="2" t="s">
        <v>70</v>
      </c>
      <c r="AF3" s="2" t="s">
        <v>71</v>
      </c>
      <c r="AG3" s="2" t="s">
        <v>72</v>
      </c>
      <c r="AH3" s="2" t="s">
        <v>50</v>
      </c>
      <c r="AI3" s="2" t="s">
        <v>50</v>
      </c>
      <c r="AJ3" s="2" t="s">
        <v>50</v>
      </c>
      <c r="AK3" s="2" t="s">
        <v>50</v>
      </c>
      <c r="AL3" s="2" t="s">
        <v>50</v>
      </c>
    </row>
    <row r="4" s="2" customFormat="true" ht="13.8" hidden="false" customHeight="false" outlineLevel="0" collapsed="false">
      <c r="B4" s="2" t="str">
        <f aca="false">HYPERLINK("https://genome.ucsc.edu/cgi-bin/hgTracks?db=hg19&amp;position=chr11%3A57374104%2D57374104", "chr11:57374104")</f>
        <v>chr11:57374104</v>
      </c>
      <c r="C4" s="2" t="s">
        <v>73</v>
      </c>
      <c r="D4" s="2" t="n">
        <v>57374104</v>
      </c>
      <c r="E4" s="2" t="n">
        <v>57374104</v>
      </c>
      <c r="F4" s="2" t="s">
        <v>74</v>
      </c>
      <c r="G4" s="2" t="s">
        <v>75</v>
      </c>
      <c r="H4" s="2" t="s">
        <v>76</v>
      </c>
      <c r="I4" s="2" t="s">
        <v>77</v>
      </c>
      <c r="J4" s="2" t="s">
        <v>78</v>
      </c>
      <c r="K4" s="2" t="s">
        <v>79</v>
      </c>
      <c r="L4" s="2" t="str">
        <f aca="false">HYPERLINK("https://www.ncbi.nlm.nih.gov/snp/rs118132731", "rs118132731")</f>
        <v>rs118132731</v>
      </c>
      <c r="M4" s="2" t="str">
        <f aca="false">HYPERLINK("https://www.genecards.org/Search/Keyword?queryString=%5Baliases%5D(%20SERPING1%20)&amp;keywords=SERPING1", "SERPING1")</f>
        <v>SERPING1</v>
      </c>
      <c r="N4" s="2" t="s">
        <v>80</v>
      </c>
      <c r="O4" s="2" t="s">
        <v>50</v>
      </c>
      <c r="P4" s="2" t="s">
        <v>50</v>
      </c>
      <c r="Q4" s="2" t="n">
        <v>0.008</v>
      </c>
      <c r="R4" s="2" t="n">
        <v>0.0073</v>
      </c>
      <c r="S4" s="2" t="n">
        <v>0.0067</v>
      </c>
      <c r="T4" s="2" t="n">
        <v>-1</v>
      </c>
      <c r="U4" s="2" t="n">
        <v>0.0109</v>
      </c>
      <c r="V4" s="2" t="s">
        <v>50</v>
      </c>
      <c r="W4" s="2" t="s">
        <v>50</v>
      </c>
      <c r="X4" s="2" t="s">
        <v>81</v>
      </c>
      <c r="Y4" s="2" t="s">
        <v>82</v>
      </c>
      <c r="Z4" s="2" t="s">
        <v>50</v>
      </c>
      <c r="AA4" s="2" t="s">
        <v>50</v>
      </c>
      <c r="AB4" s="2" t="s">
        <v>50</v>
      </c>
      <c r="AC4" s="2" t="s">
        <v>53</v>
      </c>
      <c r="AD4" s="2" t="s">
        <v>54</v>
      </c>
      <c r="AE4" s="2" t="s">
        <v>83</v>
      </c>
      <c r="AF4" s="2" t="s">
        <v>84</v>
      </c>
      <c r="AG4" s="2" t="s">
        <v>85</v>
      </c>
      <c r="AH4" s="2" t="s">
        <v>86</v>
      </c>
      <c r="AI4" s="2" t="s">
        <v>50</v>
      </c>
      <c r="AJ4" s="2" t="s">
        <v>50</v>
      </c>
      <c r="AK4" s="2" t="s">
        <v>50</v>
      </c>
      <c r="AL4" s="2" t="s">
        <v>50</v>
      </c>
    </row>
    <row r="5" customFormat="false" ht="13.8" hidden="false" customHeight="false" outlineLevel="0" collapsed="false">
      <c r="A5" s="2" t="s">
        <v>87</v>
      </c>
      <c r="B5" s="2" t="str">
        <f aca="false">HYPERLINK("https://genome.ucsc.edu/cgi-bin/hgTracks?db=hg19&amp;position=chr11%3A6638271%2D6638271", "chr11:6638271")</f>
        <v>chr11:6638271</v>
      </c>
      <c r="C5" s="2" t="s">
        <v>73</v>
      </c>
      <c r="D5" s="2" t="n">
        <v>6638271</v>
      </c>
      <c r="E5" s="2" t="n">
        <v>6638271</v>
      </c>
      <c r="F5" s="2" t="s">
        <v>74</v>
      </c>
      <c r="G5" s="2" t="s">
        <v>75</v>
      </c>
      <c r="H5" s="2" t="s">
        <v>88</v>
      </c>
      <c r="I5" s="2" t="s">
        <v>89</v>
      </c>
      <c r="J5" s="2" t="s">
        <v>90</v>
      </c>
      <c r="K5" s="2" t="s">
        <v>91</v>
      </c>
      <c r="L5" s="2" t="str">
        <f aca="false">HYPERLINK("https://www.ncbi.nlm.nih.gov/snp/rs119455955", "rs119455955")</f>
        <v>rs119455955</v>
      </c>
      <c r="M5" s="2" t="str">
        <f aca="false">HYPERLINK("https://www.genecards.org/Search/Keyword?queryString=%5Baliases%5D(%20TPP1%20)&amp;keywords=TPP1", "TPP1")</f>
        <v>TPP1</v>
      </c>
      <c r="N5" s="2" t="s">
        <v>92</v>
      </c>
      <c r="O5" s="2" t="s">
        <v>93</v>
      </c>
      <c r="P5" s="2" t="s">
        <v>94</v>
      </c>
      <c r="Q5" s="2" t="n">
        <v>0.0018</v>
      </c>
      <c r="R5" s="2" t="n">
        <v>0.0011</v>
      </c>
      <c r="S5" s="2" t="n">
        <v>0.001</v>
      </c>
      <c r="T5" s="2" t="n">
        <v>-1</v>
      </c>
      <c r="U5" s="2" t="n">
        <v>0.0015</v>
      </c>
      <c r="V5" s="2" t="s">
        <v>95</v>
      </c>
      <c r="W5" s="2" t="s">
        <v>50</v>
      </c>
      <c r="X5" s="2" t="s">
        <v>50</v>
      </c>
      <c r="Y5" s="2" t="s">
        <v>50</v>
      </c>
      <c r="Z5" s="2" t="s">
        <v>96</v>
      </c>
      <c r="AA5" s="2" t="s">
        <v>97</v>
      </c>
      <c r="AB5" s="2" t="s">
        <v>97</v>
      </c>
      <c r="AC5" s="2" t="s">
        <v>53</v>
      </c>
      <c r="AD5" s="2" t="s">
        <v>54</v>
      </c>
      <c r="AE5" s="2" t="s">
        <v>98</v>
      </c>
      <c r="AF5" s="2" t="s">
        <v>99</v>
      </c>
      <c r="AG5" s="2" t="s">
        <v>100</v>
      </c>
      <c r="AH5" s="2" t="s">
        <v>101</v>
      </c>
      <c r="AI5" s="2" t="s">
        <v>50</v>
      </c>
      <c r="AJ5" s="2" t="s">
        <v>50</v>
      </c>
      <c r="AK5" s="2" t="s">
        <v>50</v>
      </c>
      <c r="AL5" s="2" t="s">
        <v>50</v>
      </c>
    </row>
    <row r="6" customFormat="false" ht="13.8" hidden="false" customHeight="false" outlineLevel="0" collapsed="false">
      <c r="A6" s="2"/>
      <c r="B6" s="2" t="str">
        <f aca="false">HYPERLINK("https://genome.ucsc.edu/cgi-bin/hgTracks?db=hg19&amp;position=chr19%3A10397987%2D10397987", "chr19:10397987")</f>
        <v>chr19:10397987</v>
      </c>
      <c r="C6" s="2" t="s">
        <v>102</v>
      </c>
      <c r="D6" s="2" t="n">
        <v>10397987</v>
      </c>
      <c r="E6" s="2" t="n">
        <v>10397987</v>
      </c>
      <c r="F6" s="2" t="s">
        <v>75</v>
      </c>
      <c r="G6" s="2" t="s">
        <v>74</v>
      </c>
      <c r="H6" s="2" t="s">
        <v>103</v>
      </c>
      <c r="I6" s="2" t="s">
        <v>104</v>
      </c>
      <c r="J6" s="2" t="s">
        <v>105</v>
      </c>
      <c r="K6" s="2" t="s">
        <v>106</v>
      </c>
      <c r="L6" s="2" t="str">
        <f aca="false">HYPERLINK("https://www.ncbi.nlm.nih.gov/snp/rs77493670", "rs77493670")</f>
        <v>rs77493670</v>
      </c>
      <c r="M6" s="2" t="str">
        <f aca="false">HYPERLINK("https://www.genecards.org/Search/Keyword?queryString=%5Baliases%5D(%20ICAM4%20)&amp;keywords=ICAM4", "ICAM4")</f>
        <v>ICAM4</v>
      </c>
      <c r="N6" s="2" t="s">
        <v>92</v>
      </c>
      <c r="O6" s="2" t="s">
        <v>46</v>
      </c>
      <c r="P6" s="2" t="s">
        <v>107</v>
      </c>
      <c r="Q6" s="2" t="n">
        <v>0.0276</v>
      </c>
      <c r="R6" s="2" t="n">
        <v>0.02</v>
      </c>
      <c r="S6" s="2" t="n">
        <v>0.0152</v>
      </c>
      <c r="T6" s="2" t="n">
        <v>-1</v>
      </c>
      <c r="U6" s="2" t="n">
        <v>0.0325</v>
      </c>
      <c r="V6" s="2" t="s">
        <v>108</v>
      </c>
      <c r="W6" s="2" t="s">
        <v>50</v>
      </c>
      <c r="X6" s="2" t="s">
        <v>50</v>
      </c>
      <c r="Y6" s="2" t="s">
        <v>50</v>
      </c>
      <c r="Z6" s="2" t="s">
        <v>109</v>
      </c>
      <c r="AA6" s="2" t="s">
        <v>110</v>
      </c>
      <c r="AB6" s="2" t="s">
        <v>111</v>
      </c>
      <c r="AC6" s="2" t="s">
        <v>53</v>
      </c>
      <c r="AD6" s="2" t="s">
        <v>54</v>
      </c>
      <c r="AE6" s="2" t="s">
        <v>112</v>
      </c>
      <c r="AF6" s="2" t="s">
        <v>113</v>
      </c>
      <c r="AG6" s="2" t="s">
        <v>114</v>
      </c>
      <c r="AH6" s="2" t="s">
        <v>50</v>
      </c>
      <c r="AI6" s="2" t="s">
        <v>50</v>
      </c>
      <c r="AJ6" s="2" t="s">
        <v>50</v>
      </c>
      <c r="AK6" s="2" t="s">
        <v>50</v>
      </c>
      <c r="AL6" s="2" t="s">
        <v>50</v>
      </c>
    </row>
    <row r="7" s="2" customFormat="true" ht="13.8" hidden="false" customHeight="false" outlineLevel="0" collapsed="false">
      <c r="B7" s="2" t="str">
        <f aca="false">HYPERLINK("https://genome.ucsc.edu/cgi-bin/hgTracks?db=hg19&amp;position=chr3%3A93611837%2D93611837", "chr3:93611837")</f>
        <v>chr3:93611837</v>
      </c>
      <c r="C7" s="2" t="s">
        <v>115</v>
      </c>
      <c r="D7" s="2" t="n">
        <v>93611837</v>
      </c>
      <c r="E7" s="2" t="n">
        <v>93611837</v>
      </c>
      <c r="F7" s="2" t="s">
        <v>75</v>
      </c>
      <c r="G7" s="2" t="s">
        <v>39</v>
      </c>
      <c r="H7" s="2" t="s">
        <v>116</v>
      </c>
      <c r="I7" s="2" t="s">
        <v>117</v>
      </c>
      <c r="J7" s="2" t="s">
        <v>118</v>
      </c>
      <c r="K7" s="2" t="s">
        <v>119</v>
      </c>
      <c r="L7" s="2" t="str">
        <f aca="false">HYPERLINK("https://www.ncbi.nlm.nih.gov/snp/rs199469491", "rs199469491")</f>
        <v>rs199469491</v>
      </c>
      <c r="M7" s="2" t="str">
        <f aca="false">HYPERLINK("https://www.genecards.org/Search/Keyword?queryString=%5Baliases%5D(%20PROS1%20)&amp;keywords=PROS1", "PROS1")</f>
        <v>PROS1</v>
      </c>
      <c r="N7" s="2" t="s">
        <v>92</v>
      </c>
      <c r="O7" s="2" t="s">
        <v>46</v>
      </c>
      <c r="P7" s="2" t="s">
        <v>120</v>
      </c>
      <c r="Q7" s="2" t="n">
        <v>0.0147</v>
      </c>
      <c r="R7" s="2" t="n">
        <v>0.0026</v>
      </c>
      <c r="S7" s="2" t="n">
        <v>0.0018</v>
      </c>
      <c r="T7" s="2" t="n">
        <v>-1</v>
      </c>
      <c r="U7" s="2" t="n">
        <v>0.004</v>
      </c>
      <c r="V7" s="2" t="s">
        <v>121</v>
      </c>
      <c r="W7" s="2" t="s">
        <v>50</v>
      </c>
      <c r="X7" s="2" t="s">
        <v>50</v>
      </c>
      <c r="Y7" s="2" t="s">
        <v>50</v>
      </c>
      <c r="Z7" s="2" t="s">
        <v>51</v>
      </c>
      <c r="AA7" s="2" t="s">
        <v>69</v>
      </c>
      <c r="AB7" s="2" t="s">
        <v>52</v>
      </c>
      <c r="AC7" s="2" t="s">
        <v>53</v>
      </c>
      <c r="AD7" s="2" t="s">
        <v>54</v>
      </c>
      <c r="AE7" s="2" t="s">
        <v>122</v>
      </c>
      <c r="AF7" s="2" t="s">
        <v>123</v>
      </c>
      <c r="AG7" s="2" t="s">
        <v>124</v>
      </c>
      <c r="AH7" s="2" t="s">
        <v>125</v>
      </c>
      <c r="AI7" s="2" t="s">
        <v>50</v>
      </c>
      <c r="AJ7" s="2" t="s">
        <v>50</v>
      </c>
      <c r="AK7" s="2" t="s">
        <v>50</v>
      </c>
      <c r="AL7" s="2" t="s">
        <v>50</v>
      </c>
    </row>
    <row r="8" s="2" customFormat="true" ht="13.8" hidden="false" customHeight="false" outlineLevel="0" collapsed="false">
      <c r="B8" s="2" t="str">
        <f aca="false">HYPERLINK("https://genome.ucsc.edu/cgi-bin/hgTracks?db=hg19&amp;position=chr1%3A211652382%2D211652382", "chr1:211652382")</f>
        <v>chr1:211652382</v>
      </c>
      <c r="C8" s="2" t="s">
        <v>126</v>
      </c>
      <c r="D8" s="2" t="n">
        <v>211652382</v>
      </c>
      <c r="E8" s="2" t="n">
        <v>211652382</v>
      </c>
      <c r="F8" s="2" t="s">
        <v>40</v>
      </c>
      <c r="G8" s="2" t="s">
        <v>75</v>
      </c>
      <c r="H8" s="2" t="s">
        <v>127</v>
      </c>
      <c r="I8" s="2" t="s">
        <v>128</v>
      </c>
      <c r="J8" s="2" t="s">
        <v>129</v>
      </c>
      <c r="K8" s="2" t="s">
        <v>130</v>
      </c>
      <c r="L8" s="2" t="str">
        <f aca="false">HYPERLINK("https://www.ncbi.nlm.nih.gov/snp/rs143207434", "rs143207434")</f>
        <v>rs143207434</v>
      </c>
      <c r="M8" s="2" t="str">
        <f aca="false">HYPERLINK("https://www.genecards.org/Search/Keyword?queryString=%5Baliases%5D(%20RD3%20)&amp;keywords=RD3", "RD3")</f>
        <v>RD3</v>
      </c>
      <c r="N8" s="2" t="s">
        <v>92</v>
      </c>
      <c r="O8" s="2" t="s">
        <v>46</v>
      </c>
      <c r="P8" s="2" t="s">
        <v>131</v>
      </c>
      <c r="Q8" s="2" t="n">
        <v>0.0299</v>
      </c>
      <c r="R8" s="2" t="n">
        <v>0.0231</v>
      </c>
      <c r="S8" s="2" t="n">
        <v>0.0209</v>
      </c>
      <c r="T8" s="2" t="n">
        <v>-1</v>
      </c>
      <c r="U8" s="2" t="n">
        <v>0.0336</v>
      </c>
      <c r="V8" s="2" t="s">
        <v>132</v>
      </c>
      <c r="W8" s="2" t="s">
        <v>50</v>
      </c>
      <c r="X8" s="2" t="s">
        <v>50</v>
      </c>
      <c r="Y8" s="2" t="s">
        <v>50</v>
      </c>
      <c r="Z8" s="2" t="s">
        <v>109</v>
      </c>
      <c r="AA8" s="2" t="s">
        <v>133</v>
      </c>
      <c r="AB8" s="2" t="s">
        <v>134</v>
      </c>
      <c r="AC8" s="2" t="s">
        <v>53</v>
      </c>
      <c r="AD8" s="2" t="s">
        <v>54</v>
      </c>
      <c r="AE8" s="2" t="s">
        <v>135</v>
      </c>
      <c r="AF8" s="2" t="s">
        <v>136</v>
      </c>
      <c r="AG8" s="2" t="s">
        <v>50</v>
      </c>
      <c r="AH8" s="2" t="s">
        <v>50</v>
      </c>
      <c r="AI8" s="2" t="s">
        <v>50</v>
      </c>
      <c r="AJ8" s="2" t="s">
        <v>50</v>
      </c>
      <c r="AK8" s="2" t="s">
        <v>50</v>
      </c>
      <c r="AL8" s="2" t="s">
        <v>50</v>
      </c>
    </row>
    <row r="9" s="2" customFormat="true" ht="13.8" hidden="false" customHeight="false" outlineLevel="0" collapsed="false">
      <c r="B9" s="2" t="str">
        <f aca="false">HYPERLINK("https://genome.ucsc.edu/cgi-bin/hgTracks?db=hg19&amp;position=chr19%3A39026677%2D39026677", "chr19:39026677")</f>
        <v>chr19:39026677</v>
      </c>
      <c r="C9" s="2" t="s">
        <v>102</v>
      </c>
      <c r="D9" s="2" t="n">
        <v>39026677</v>
      </c>
      <c r="E9" s="2" t="n">
        <v>39026677</v>
      </c>
      <c r="F9" s="2" t="s">
        <v>74</v>
      </c>
      <c r="G9" s="2" t="s">
        <v>75</v>
      </c>
      <c r="H9" s="2" t="s">
        <v>137</v>
      </c>
      <c r="I9" s="2" t="s">
        <v>138</v>
      </c>
      <c r="J9" s="2" t="s">
        <v>139</v>
      </c>
      <c r="K9" s="2" t="s">
        <v>140</v>
      </c>
      <c r="L9" s="2" t="str">
        <f aca="false">HYPERLINK("https://www.ncbi.nlm.nih.gov/snp/rs145087576", "rs145087576")</f>
        <v>rs145087576</v>
      </c>
      <c r="M9" s="3" t="str">
        <f aca="false">HYPERLINK("https://www.genecards.org/Search/Keyword?queryString=%5Baliases%5D(%20RYR1%20)&amp;keywords=RYR1", "RYR1")</f>
        <v>RYR1</v>
      </c>
      <c r="N9" s="2" t="s">
        <v>92</v>
      </c>
      <c r="O9" s="2" t="s">
        <v>46</v>
      </c>
      <c r="P9" s="2" t="s">
        <v>141</v>
      </c>
      <c r="Q9" s="2" t="n">
        <v>0.0001</v>
      </c>
      <c r="R9" s="2" t="n">
        <v>0.0001</v>
      </c>
      <c r="S9" s="2" t="n">
        <v>0.0003</v>
      </c>
      <c r="T9" s="2" t="n">
        <v>-1</v>
      </c>
      <c r="U9" s="2" t="n">
        <v>0.0004</v>
      </c>
      <c r="V9" s="2" t="s">
        <v>142</v>
      </c>
      <c r="W9" s="2" t="s">
        <v>50</v>
      </c>
      <c r="X9" s="2" t="s">
        <v>50</v>
      </c>
      <c r="Y9" s="2" t="s">
        <v>50</v>
      </c>
      <c r="Z9" s="2" t="s">
        <v>143</v>
      </c>
      <c r="AA9" s="2" t="s">
        <v>110</v>
      </c>
      <c r="AB9" s="2" t="s">
        <v>144</v>
      </c>
      <c r="AC9" s="2" t="s">
        <v>53</v>
      </c>
      <c r="AD9" s="2" t="s">
        <v>54</v>
      </c>
      <c r="AE9" s="2" t="s">
        <v>145</v>
      </c>
      <c r="AF9" s="2" t="s">
        <v>146</v>
      </c>
      <c r="AG9" s="2" t="s">
        <v>147</v>
      </c>
      <c r="AH9" s="2" t="s">
        <v>148</v>
      </c>
      <c r="AI9" s="2" t="s">
        <v>50</v>
      </c>
      <c r="AJ9" s="2" t="s">
        <v>50</v>
      </c>
      <c r="AK9" s="2" t="s">
        <v>50</v>
      </c>
      <c r="AL9" s="2" t="s">
        <v>50</v>
      </c>
    </row>
    <row r="10" s="2" customFormat="true" ht="13.8" hidden="false" customHeight="false" outlineLevel="0" collapsed="false">
      <c r="B10" s="2" t="str">
        <f aca="false">HYPERLINK("https://genome.ucsc.edu/cgi-bin/hgTracks?db=hg19&amp;position=chr5%3A177638965%2D177638965", "chr5:177638965")</f>
        <v>chr5:177638965</v>
      </c>
      <c r="C10" s="2" t="s">
        <v>149</v>
      </c>
      <c r="D10" s="2" t="n">
        <v>177638965</v>
      </c>
      <c r="E10" s="2" t="n">
        <v>177638965</v>
      </c>
      <c r="F10" s="2" t="s">
        <v>40</v>
      </c>
      <c r="G10" s="2" t="s">
        <v>75</v>
      </c>
      <c r="H10" s="2" t="s">
        <v>150</v>
      </c>
      <c r="I10" s="2" t="s">
        <v>151</v>
      </c>
      <c r="J10" s="2" t="s">
        <v>152</v>
      </c>
      <c r="K10" s="2" t="s">
        <v>153</v>
      </c>
      <c r="L10" s="2" t="str">
        <f aca="false">HYPERLINK("https://www.ncbi.nlm.nih.gov/snp/rs142181517", "rs142181517")</f>
        <v>rs142181517</v>
      </c>
      <c r="M10" s="2" t="str">
        <f aca="false">HYPERLINK("https://www.genecards.org/Search/Keyword?queryString=%5Baliases%5D(%20AGXT2L2%20)%20OR%20%5Baliases%5D(%20PHYKPL%20)&amp;keywords=AGXT2L2,PHYKPL", "AGXT2L2;PHYKPL")</f>
        <v>AGXT2L2;PHYKPL</v>
      </c>
      <c r="N10" s="2" t="s">
        <v>92</v>
      </c>
      <c r="O10" s="2" t="s">
        <v>46</v>
      </c>
      <c r="P10" s="2" t="s">
        <v>154</v>
      </c>
      <c r="Q10" s="2" t="n">
        <v>0.0074</v>
      </c>
      <c r="R10" s="2" t="n">
        <v>0.0058</v>
      </c>
      <c r="S10" s="2" t="n">
        <v>0.0062</v>
      </c>
      <c r="T10" s="2" t="n">
        <v>-1</v>
      </c>
      <c r="U10" s="2" t="n">
        <v>0.0051</v>
      </c>
      <c r="V10" s="2" t="s">
        <v>155</v>
      </c>
      <c r="W10" s="2" t="s">
        <v>50</v>
      </c>
      <c r="X10" s="2" t="s">
        <v>50</v>
      </c>
      <c r="Y10" s="2" t="s">
        <v>50</v>
      </c>
      <c r="Z10" s="2" t="s">
        <v>51</v>
      </c>
      <c r="AA10" s="2" t="s">
        <v>110</v>
      </c>
      <c r="AB10" s="2" t="s">
        <v>97</v>
      </c>
      <c r="AC10" s="2" t="s">
        <v>156</v>
      </c>
      <c r="AD10" s="2" t="s">
        <v>157</v>
      </c>
      <c r="AE10" s="2" t="s">
        <v>158</v>
      </c>
      <c r="AF10" s="2" t="s">
        <v>159</v>
      </c>
      <c r="AG10" s="2" t="s">
        <v>160</v>
      </c>
      <c r="AH10" s="2" t="s">
        <v>161</v>
      </c>
      <c r="AI10" s="2" t="s">
        <v>50</v>
      </c>
      <c r="AJ10" s="2" t="s">
        <v>50</v>
      </c>
      <c r="AK10" s="2" t="s">
        <v>50</v>
      </c>
      <c r="AL10" s="2" t="s">
        <v>50</v>
      </c>
    </row>
    <row r="11" s="2" customFormat="true" ht="13.8" hidden="false" customHeight="false" outlineLevel="0" collapsed="false">
      <c r="B11" s="2" t="str">
        <f aca="false">HYPERLINK("https://genome.ucsc.edu/cgi-bin/hgTracks?db=hg19&amp;position=chr19%3A36247851%2D36247851", "chr19:36247851")</f>
        <v>chr19:36247851</v>
      </c>
      <c r="C11" s="2" t="s">
        <v>102</v>
      </c>
      <c r="D11" s="2" t="n">
        <v>36247851</v>
      </c>
      <c r="E11" s="2" t="n">
        <v>36247851</v>
      </c>
      <c r="F11" s="2" t="s">
        <v>74</v>
      </c>
      <c r="G11" s="2" t="s">
        <v>75</v>
      </c>
      <c r="H11" s="2" t="s">
        <v>162</v>
      </c>
      <c r="I11" s="2" t="s">
        <v>163</v>
      </c>
      <c r="J11" s="2" t="s">
        <v>164</v>
      </c>
      <c r="K11" s="2" t="s">
        <v>165</v>
      </c>
      <c r="L11" s="2" t="str">
        <f aca="false">HYPERLINK("https://www.ncbi.nlm.nih.gov/snp/rs11549029", "rs11549029")</f>
        <v>rs11549029</v>
      </c>
      <c r="M11" s="2" t="str">
        <f aca="false">HYPERLINK("https://www.genecards.org/Search/Keyword?queryString=%5Baliases%5D(%20HSPB6%20)&amp;keywords=HSPB6", "HSPB6")</f>
        <v>HSPB6</v>
      </c>
      <c r="N11" s="2" t="s">
        <v>92</v>
      </c>
      <c r="O11" s="2" t="s">
        <v>46</v>
      </c>
      <c r="P11" s="2" t="s">
        <v>166</v>
      </c>
      <c r="Q11" s="2" t="n">
        <v>0.0069</v>
      </c>
      <c r="R11" s="2" t="n">
        <v>0.0008</v>
      </c>
      <c r="S11" s="2" t="n">
        <v>0.0012</v>
      </c>
      <c r="T11" s="2" t="n">
        <v>-1</v>
      </c>
      <c r="U11" s="2" t="n">
        <v>0.0009</v>
      </c>
      <c r="V11" s="2" t="s">
        <v>167</v>
      </c>
      <c r="W11" s="2" t="s">
        <v>50</v>
      </c>
      <c r="X11" s="2" t="s">
        <v>50</v>
      </c>
      <c r="Y11" s="2" t="s">
        <v>50</v>
      </c>
      <c r="Z11" s="2" t="s">
        <v>96</v>
      </c>
      <c r="AA11" s="2" t="s">
        <v>110</v>
      </c>
      <c r="AB11" s="2" t="s">
        <v>50</v>
      </c>
      <c r="AC11" s="2" t="s">
        <v>53</v>
      </c>
      <c r="AD11" s="2" t="s">
        <v>54</v>
      </c>
      <c r="AE11" s="2" t="s">
        <v>168</v>
      </c>
      <c r="AF11" s="2" t="s">
        <v>169</v>
      </c>
      <c r="AG11" s="2" t="s">
        <v>50</v>
      </c>
      <c r="AH11" s="2" t="s">
        <v>50</v>
      </c>
      <c r="AI11" s="2" t="s">
        <v>50</v>
      </c>
      <c r="AJ11" s="2" t="s">
        <v>50</v>
      </c>
      <c r="AK11" s="2" t="s">
        <v>50</v>
      </c>
      <c r="AL11" s="2" t="s">
        <v>50</v>
      </c>
    </row>
    <row r="12" s="2" customFormat="true" ht="13.8" hidden="false" customHeight="false" outlineLevel="0" collapsed="false">
      <c r="B12" s="2" t="str">
        <f aca="false">HYPERLINK("https://genome.ucsc.edu/cgi-bin/hgTracks?db=hg19&amp;position=chr11%3A108175463%2D108175463", "chr11:108175463")</f>
        <v>chr11:108175463</v>
      </c>
      <c r="C12" s="2" t="s">
        <v>73</v>
      </c>
      <c r="D12" s="2" t="n">
        <v>108175463</v>
      </c>
      <c r="E12" s="2" t="n">
        <v>108175463</v>
      </c>
      <c r="F12" s="2" t="s">
        <v>75</v>
      </c>
      <c r="G12" s="2" t="s">
        <v>40</v>
      </c>
      <c r="H12" s="2" t="s">
        <v>170</v>
      </c>
      <c r="I12" s="2" t="s">
        <v>171</v>
      </c>
      <c r="J12" s="2" t="s">
        <v>172</v>
      </c>
      <c r="K12" s="2" t="s">
        <v>173</v>
      </c>
      <c r="L12" s="2" t="str">
        <f aca="false">HYPERLINK("https://www.ncbi.nlm.nih.gov/snp/rs1801673", "rs1801673")</f>
        <v>rs1801673</v>
      </c>
      <c r="M12" s="2" t="str">
        <f aca="false">HYPERLINK("https://www.genecards.org/Search/Keyword?queryString=%5Baliases%5D(%20ATM%20)&amp;keywords=ATM", "ATM")</f>
        <v>ATM</v>
      </c>
      <c r="N12" s="2" t="s">
        <v>92</v>
      </c>
      <c r="O12" s="2" t="s">
        <v>46</v>
      </c>
      <c r="P12" s="2" t="s">
        <v>174</v>
      </c>
      <c r="Q12" s="2" t="n">
        <v>0.0138</v>
      </c>
      <c r="R12" s="2" t="n">
        <v>0.0087</v>
      </c>
      <c r="S12" s="2" t="n">
        <v>0.0093</v>
      </c>
      <c r="T12" s="2" t="n">
        <v>-1</v>
      </c>
      <c r="U12" s="2" t="n">
        <v>0.0123</v>
      </c>
      <c r="V12" s="2" t="s">
        <v>155</v>
      </c>
      <c r="W12" s="2" t="s">
        <v>50</v>
      </c>
      <c r="X12" s="2" t="s">
        <v>50</v>
      </c>
      <c r="Y12" s="2" t="s">
        <v>50</v>
      </c>
      <c r="Z12" s="2" t="s">
        <v>175</v>
      </c>
      <c r="AA12" s="2" t="s">
        <v>133</v>
      </c>
      <c r="AB12" s="2" t="s">
        <v>52</v>
      </c>
      <c r="AC12" s="2" t="s">
        <v>53</v>
      </c>
      <c r="AD12" s="2" t="s">
        <v>54</v>
      </c>
      <c r="AE12" s="2" t="s">
        <v>176</v>
      </c>
      <c r="AF12" s="2" t="s">
        <v>177</v>
      </c>
      <c r="AG12" s="2" t="s">
        <v>178</v>
      </c>
      <c r="AH12" s="2" t="s">
        <v>179</v>
      </c>
      <c r="AI12" s="2" t="s">
        <v>50</v>
      </c>
      <c r="AJ12" s="2" t="s">
        <v>50</v>
      </c>
      <c r="AK12" s="2" t="s">
        <v>50</v>
      </c>
      <c r="AL12" s="2" t="s">
        <v>50</v>
      </c>
    </row>
    <row r="13" s="2" customFormat="true" ht="13.8" hidden="false" customHeight="false" outlineLevel="0" collapsed="false">
      <c r="B13" s="2" t="str">
        <f aca="false">HYPERLINK("https://genome.ucsc.edu/cgi-bin/hgTracks?db=hg19&amp;position=chr8%3A145700381%2D145700381", "chr8:145700381")</f>
        <v>chr8:145700381</v>
      </c>
      <c r="C13" s="2" t="s">
        <v>180</v>
      </c>
      <c r="D13" s="2" t="n">
        <v>145700381</v>
      </c>
      <c r="E13" s="2" t="n">
        <v>145700381</v>
      </c>
      <c r="F13" s="2" t="s">
        <v>39</v>
      </c>
      <c r="G13" s="2" t="s">
        <v>74</v>
      </c>
      <c r="H13" s="2" t="s">
        <v>181</v>
      </c>
      <c r="I13" s="2" t="s">
        <v>182</v>
      </c>
      <c r="J13" s="2" t="s">
        <v>183</v>
      </c>
      <c r="K13" s="2" t="s">
        <v>184</v>
      </c>
      <c r="L13" s="2" t="str">
        <f aca="false">HYPERLINK("https://www.ncbi.nlm.nih.gov/snp/rs144830740", "rs144830740")</f>
        <v>rs144830740</v>
      </c>
      <c r="M13" s="2" t="str">
        <f aca="false">HYPERLINK("https://www.genecards.org/Search/Keyword?queryString=%5Baliases%5D(%20FOXH1%20)&amp;keywords=FOXH1", "FOXH1")</f>
        <v>FOXH1</v>
      </c>
      <c r="N13" s="2" t="s">
        <v>92</v>
      </c>
      <c r="O13" s="2" t="s">
        <v>46</v>
      </c>
      <c r="P13" s="2" t="s">
        <v>185</v>
      </c>
      <c r="Q13" s="2" t="n">
        <v>0.0104</v>
      </c>
      <c r="R13" s="2" t="n">
        <v>0.012</v>
      </c>
      <c r="S13" s="2" t="n">
        <v>0.0106</v>
      </c>
      <c r="T13" s="2" t="n">
        <v>-1</v>
      </c>
      <c r="U13" s="2" t="n">
        <v>0.0171</v>
      </c>
      <c r="V13" s="2" t="s">
        <v>155</v>
      </c>
      <c r="W13" s="2" t="s">
        <v>50</v>
      </c>
      <c r="X13" s="2" t="s">
        <v>50</v>
      </c>
      <c r="Y13" s="2" t="s">
        <v>50</v>
      </c>
      <c r="Z13" s="2" t="s">
        <v>51</v>
      </c>
      <c r="AA13" s="2" t="s">
        <v>133</v>
      </c>
      <c r="AB13" s="2" t="s">
        <v>134</v>
      </c>
      <c r="AC13" s="2" t="s">
        <v>53</v>
      </c>
      <c r="AD13" s="2" t="s">
        <v>54</v>
      </c>
      <c r="AE13" s="2" t="s">
        <v>186</v>
      </c>
      <c r="AF13" s="2" t="s">
        <v>187</v>
      </c>
      <c r="AG13" s="2" t="s">
        <v>188</v>
      </c>
      <c r="AH13" s="2" t="s">
        <v>50</v>
      </c>
      <c r="AI13" s="2" t="s">
        <v>50</v>
      </c>
      <c r="AJ13" s="2" t="s">
        <v>50</v>
      </c>
      <c r="AK13" s="2" t="s">
        <v>50</v>
      </c>
      <c r="AL13" s="2" t="s">
        <v>50</v>
      </c>
    </row>
    <row r="14" s="2" customFormat="true" ht="13.8" hidden="false" customHeight="false" outlineLevel="0" collapsed="false">
      <c r="B14" s="2" t="str">
        <f aca="false">HYPERLINK("https://genome.ucsc.edu/cgi-bin/hgTracks?db=hg19&amp;position=chrX%3A31854852%2D31854852", "chrX:31854852")</f>
        <v>chrX:31854852</v>
      </c>
      <c r="C14" s="2" t="s">
        <v>189</v>
      </c>
      <c r="D14" s="2" t="n">
        <v>31854852</v>
      </c>
      <c r="E14" s="2" t="n">
        <v>31854852</v>
      </c>
      <c r="F14" s="2" t="s">
        <v>39</v>
      </c>
      <c r="G14" s="2" t="s">
        <v>40</v>
      </c>
      <c r="H14" s="2" t="s">
        <v>190</v>
      </c>
      <c r="I14" s="2" t="s">
        <v>191</v>
      </c>
      <c r="J14" s="2" t="s">
        <v>192</v>
      </c>
      <c r="K14" s="2" t="s">
        <v>193</v>
      </c>
      <c r="L14" s="2" t="str">
        <f aca="false">HYPERLINK("https://www.ncbi.nlm.nih.gov/snp/rs72466590", "rs72466590")</f>
        <v>rs72466590</v>
      </c>
      <c r="M14" s="2" t="str">
        <f aca="false">HYPERLINK("https://www.genecards.org/Search/Keyword?queryString=%5Baliases%5D(%20DMD%20)&amp;keywords=DMD", "DMD")</f>
        <v>DMD</v>
      </c>
      <c r="N14" s="2" t="s">
        <v>92</v>
      </c>
      <c r="O14" s="2" t="s">
        <v>46</v>
      </c>
      <c r="P14" s="2" t="s">
        <v>194</v>
      </c>
      <c r="Q14" s="2" t="n">
        <v>0.00885</v>
      </c>
      <c r="R14" s="2" t="n">
        <v>0.0013</v>
      </c>
      <c r="S14" s="2" t="n">
        <v>0.0015</v>
      </c>
      <c r="T14" s="2" t="n">
        <v>-1</v>
      </c>
      <c r="U14" s="2" t="n">
        <v>0.0008</v>
      </c>
      <c r="V14" s="2" t="s">
        <v>132</v>
      </c>
      <c r="W14" s="2" t="s">
        <v>50</v>
      </c>
      <c r="X14" s="2" t="s">
        <v>50</v>
      </c>
      <c r="Y14" s="2" t="s">
        <v>50</v>
      </c>
      <c r="Z14" s="2" t="s">
        <v>195</v>
      </c>
      <c r="AA14" s="2" t="s">
        <v>133</v>
      </c>
      <c r="AB14" s="2" t="s">
        <v>52</v>
      </c>
      <c r="AC14" s="2" t="s">
        <v>53</v>
      </c>
      <c r="AD14" s="2" t="s">
        <v>54</v>
      </c>
      <c r="AE14" s="2" t="s">
        <v>196</v>
      </c>
      <c r="AF14" s="2" t="s">
        <v>197</v>
      </c>
      <c r="AG14" s="2" t="s">
        <v>198</v>
      </c>
      <c r="AH14" s="2" t="s">
        <v>199</v>
      </c>
      <c r="AI14" s="2" t="s">
        <v>50</v>
      </c>
      <c r="AJ14" s="2" t="s">
        <v>50</v>
      </c>
      <c r="AK14" s="2" t="s">
        <v>50</v>
      </c>
      <c r="AL14" s="2" t="s">
        <v>50</v>
      </c>
    </row>
    <row r="15" s="2" customFormat="true" ht="13.8" hidden="false" customHeight="false" outlineLevel="0" collapsed="false">
      <c r="B15" s="2" t="str">
        <f aca="false">HYPERLINK("https://genome.ucsc.edu/cgi-bin/hgTracks?db=hg19&amp;position=chr19%3A2435150%2D2435150", "chr19:2435150")</f>
        <v>chr19:2435150</v>
      </c>
      <c r="C15" s="2" t="s">
        <v>102</v>
      </c>
      <c r="D15" s="2" t="n">
        <v>2435150</v>
      </c>
      <c r="E15" s="2" t="n">
        <v>2435150</v>
      </c>
      <c r="F15" s="2" t="s">
        <v>39</v>
      </c>
      <c r="G15" s="2" t="s">
        <v>40</v>
      </c>
      <c r="H15" s="2" t="s">
        <v>200</v>
      </c>
      <c r="I15" s="2" t="s">
        <v>201</v>
      </c>
      <c r="J15" s="2" t="s">
        <v>202</v>
      </c>
      <c r="K15" s="2" t="s">
        <v>203</v>
      </c>
      <c r="L15" s="2" t="str">
        <f aca="false">HYPERLINK("https://www.ncbi.nlm.nih.gov/snp/rs121912497", "rs121912497")</f>
        <v>rs121912497</v>
      </c>
      <c r="M15" s="2" t="str">
        <f aca="false">HYPERLINK("https://www.genecards.org/Search/Keyword?queryString=%5Baliases%5D(%20LMNB2%20)&amp;keywords=LMNB2", "LMNB2")</f>
        <v>LMNB2</v>
      </c>
      <c r="N15" s="2" t="s">
        <v>92</v>
      </c>
      <c r="O15" s="2" t="s">
        <v>46</v>
      </c>
      <c r="P15" s="2" t="s">
        <v>204</v>
      </c>
      <c r="Q15" s="2" t="n">
        <v>0.0207</v>
      </c>
      <c r="R15" s="2" t="n">
        <v>0.0118</v>
      </c>
      <c r="S15" s="2" t="n">
        <v>0.0118</v>
      </c>
      <c r="T15" s="2" t="n">
        <v>-1</v>
      </c>
      <c r="U15" s="2" t="n">
        <v>0.0109</v>
      </c>
      <c r="V15" s="2" t="s">
        <v>205</v>
      </c>
      <c r="W15" s="2" t="s">
        <v>50</v>
      </c>
      <c r="X15" s="2" t="s">
        <v>50</v>
      </c>
      <c r="Y15" s="2" t="s">
        <v>50</v>
      </c>
      <c r="Z15" s="2" t="s">
        <v>51</v>
      </c>
      <c r="AA15" s="2" t="s">
        <v>133</v>
      </c>
      <c r="AB15" s="2" t="s">
        <v>69</v>
      </c>
      <c r="AC15" s="2" t="s">
        <v>53</v>
      </c>
      <c r="AD15" s="2" t="s">
        <v>54</v>
      </c>
      <c r="AE15" s="2" t="s">
        <v>206</v>
      </c>
      <c r="AF15" s="2" t="s">
        <v>207</v>
      </c>
      <c r="AG15" s="2" t="s">
        <v>208</v>
      </c>
      <c r="AH15" s="2" t="s">
        <v>209</v>
      </c>
      <c r="AI15" s="2" t="s">
        <v>50</v>
      </c>
      <c r="AJ15" s="2" t="s">
        <v>50</v>
      </c>
      <c r="AK15" s="2" t="s">
        <v>50</v>
      </c>
      <c r="AL15" s="2" t="s">
        <v>50</v>
      </c>
    </row>
    <row r="16" s="2" customFormat="true" ht="13.8" hidden="false" customHeight="false" outlineLevel="0" collapsed="false">
      <c r="B16" s="2" t="str">
        <f aca="false">HYPERLINK("https://genome.ucsc.edu/cgi-bin/hgTracks?db=hg19&amp;position=chr6%3A161781201%2D161781201", "chr6:161781201")</f>
        <v>chr6:161781201</v>
      </c>
      <c r="C16" s="2" t="s">
        <v>210</v>
      </c>
      <c r="D16" s="2" t="n">
        <v>161781201</v>
      </c>
      <c r="E16" s="2" t="n">
        <v>161781201</v>
      </c>
      <c r="F16" s="2" t="s">
        <v>74</v>
      </c>
      <c r="G16" s="2" t="s">
        <v>75</v>
      </c>
      <c r="H16" s="2" t="s">
        <v>211</v>
      </c>
      <c r="I16" s="2" t="s">
        <v>212</v>
      </c>
      <c r="J16" s="2" t="s">
        <v>213</v>
      </c>
      <c r="K16" s="2" t="s">
        <v>214</v>
      </c>
      <c r="L16" s="2" t="str">
        <f aca="false">HYPERLINK("https://www.ncbi.nlm.nih.gov/snp/rs55830907", "rs55830907")</f>
        <v>rs55830907</v>
      </c>
      <c r="M16" s="2" t="str">
        <f aca="false">HYPERLINK("https://www.genecards.org/Search/Keyword?queryString=%5Baliases%5D(%20PARK2%20)%20OR%20%5Baliases%5D(%20PRKN%20)&amp;keywords=PARK2,PRKN", "PARK2;PRKN")</f>
        <v>PARK2;PRKN</v>
      </c>
      <c r="N16" s="2" t="s">
        <v>92</v>
      </c>
      <c r="O16" s="2" t="s">
        <v>46</v>
      </c>
      <c r="P16" s="2" t="s">
        <v>215</v>
      </c>
      <c r="Q16" s="2" t="n">
        <v>0.009146</v>
      </c>
      <c r="R16" s="2" t="n">
        <v>0.0025</v>
      </c>
      <c r="S16" s="2" t="n">
        <v>0.0018</v>
      </c>
      <c r="T16" s="2" t="n">
        <v>-1</v>
      </c>
      <c r="U16" s="2" t="n">
        <v>0.0016</v>
      </c>
      <c r="V16" s="2" t="s">
        <v>155</v>
      </c>
      <c r="W16" s="2" t="s">
        <v>50</v>
      </c>
      <c r="X16" s="2" t="s">
        <v>50</v>
      </c>
      <c r="Y16" s="2" t="s">
        <v>50</v>
      </c>
      <c r="Z16" s="2" t="s">
        <v>109</v>
      </c>
      <c r="AA16" s="2" t="s">
        <v>110</v>
      </c>
      <c r="AB16" s="2" t="s">
        <v>52</v>
      </c>
      <c r="AC16" s="2" t="s">
        <v>53</v>
      </c>
      <c r="AD16" s="2" t="s">
        <v>157</v>
      </c>
      <c r="AE16" s="2" t="s">
        <v>216</v>
      </c>
      <c r="AF16" s="2" t="s">
        <v>217</v>
      </c>
      <c r="AG16" s="2" t="s">
        <v>218</v>
      </c>
      <c r="AH16" s="2" t="s">
        <v>219</v>
      </c>
      <c r="AI16" s="2" t="s">
        <v>50</v>
      </c>
      <c r="AJ16" s="2" t="s">
        <v>50</v>
      </c>
      <c r="AK16" s="2" t="s">
        <v>50</v>
      </c>
      <c r="AL16" s="2" t="s">
        <v>50</v>
      </c>
    </row>
    <row r="17" s="2" customFormat="true" ht="13.8" hidden="false" customHeight="false" outlineLevel="0" collapsed="false">
      <c r="B17" s="2" t="str">
        <f aca="false">HYPERLINK("https://genome.ucsc.edu/cgi-bin/hgTracks?db=hg19&amp;position=chr6%3A51893107%2D51893107", "chr6:51893107")</f>
        <v>chr6:51893107</v>
      </c>
      <c r="C17" s="2" t="s">
        <v>210</v>
      </c>
      <c r="D17" s="2" t="n">
        <v>51893107</v>
      </c>
      <c r="E17" s="2" t="n">
        <v>51893107</v>
      </c>
      <c r="F17" s="2" t="s">
        <v>40</v>
      </c>
      <c r="G17" s="2" t="s">
        <v>39</v>
      </c>
      <c r="H17" s="2" t="s">
        <v>220</v>
      </c>
      <c r="I17" s="2" t="s">
        <v>221</v>
      </c>
      <c r="J17" s="2" t="s">
        <v>222</v>
      </c>
      <c r="K17" s="2" t="s">
        <v>223</v>
      </c>
      <c r="L17" s="2" t="str">
        <f aca="false">HYPERLINK("https://www.ncbi.nlm.nih.gov/snp/rs41273726", "rs41273726")</f>
        <v>rs41273726</v>
      </c>
      <c r="M17" s="2" t="str">
        <f aca="false">HYPERLINK("https://www.genecards.org/Search/Keyword?queryString=%5Baliases%5D(%20PKHD1%20)&amp;keywords=PKHD1", "PKHD1")</f>
        <v>PKHD1</v>
      </c>
      <c r="N17" s="2" t="s">
        <v>92</v>
      </c>
      <c r="O17" s="2" t="s">
        <v>46</v>
      </c>
      <c r="P17" s="2" t="s">
        <v>224</v>
      </c>
      <c r="Q17" s="2" t="n">
        <v>0.0241</v>
      </c>
      <c r="R17" s="2" t="n">
        <v>0.0275</v>
      </c>
      <c r="S17" s="2" t="n">
        <v>0.0215</v>
      </c>
      <c r="T17" s="2" t="n">
        <v>-1</v>
      </c>
      <c r="U17" s="2" t="n">
        <v>0.039</v>
      </c>
      <c r="V17" s="2" t="s">
        <v>225</v>
      </c>
      <c r="W17" s="2" t="s">
        <v>50</v>
      </c>
      <c r="X17" s="2" t="s">
        <v>50</v>
      </c>
      <c r="Y17" s="2" t="s">
        <v>50</v>
      </c>
      <c r="Z17" s="2" t="s">
        <v>109</v>
      </c>
      <c r="AA17" s="2" t="s">
        <v>69</v>
      </c>
      <c r="AB17" s="2" t="s">
        <v>134</v>
      </c>
      <c r="AC17" s="2" t="s">
        <v>53</v>
      </c>
      <c r="AD17" s="2" t="s">
        <v>226</v>
      </c>
      <c r="AE17" s="2" t="s">
        <v>227</v>
      </c>
      <c r="AF17" s="2" t="s">
        <v>228</v>
      </c>
      <c r="AG17" s="2" t="s">
        <v>229</v>
      </c>
      <c r="AH17" s="2" t="s">
        <v>50</v>
      </c>
      <c r="AI17" s="2" t="s">
        <v>50</v>
      </c>
      <c r="AJ17" s="2" t="s">
        <v>50</v>
      </c>
      <c r="AK17" s="2" t="s">
        <v>50</v>
      </c>
      <c r="AL17" s="2" t="s">
        <v>50</v>
      </c>
    </row>
    <row r="18" s="2" customFormat="true" ht="13.8" hidden="false" customHeight="false" outlineLevel="0" collapsed="false">
      <c r="A18" s="2" t="s">
        <v>87</v>
      </c>
      <c r="B18" s="2" t="str">
        <f aca="false">HYPERLINK("https://genome.ucsc.edu/cgi-bin/hgTracks?db=hg19&amp;position=chrX%3A66941751%2D66941751", "chrX:66941751")</f>
        <v>chrX:66941751</v>
      </c>
      <c r="C18" s="2" t="s">
        <v>189</v>
      </c>
      <c r="D18" s="2" t="n">
        <v>66941751</v>
      </c>
      <c r="E18" s="2" t="n">
        <v>66941751</v>
      </c>
      <c r="F18" s="2" t="s">
        <v>39</v>
      </c>
      <c r="G18" s="2" t="s">
        <v>74</v>
      </c>
      <c r="H18" s="2" t="s">
        <v>230</v>
      </c>
      <c r="I18" s="2" t="s">
        <v>231</v>
      </c>
      <c r="J18" s="2" t="s">
        <v>232</v>
      </c>
      <c r="K18" s="2" t="s">
        <v>233</v>
      </c>
      <c r="L18" s="2" t="str">
        <f aca="false">HYPERLINK("https://www.ncbi.nlm.nih.gov/snp/rs137852591", "rs137852591")</f>
        <v>rs137852591</v>
      </c>
      <c r="M18" s="2" t="str">
        <f aca="false">HYPERLINK("https://www.genecards.org/Search/Keyword?queryString=%5Baliases%5D(%20AR%20)&amp;keywords=AR", "AR")</f>
        <v>AR</v>
      </c>
      <c r="N18" s="2" t="s">
        <v>92</v>
      </c>
      <c r="O18" s="2" t="s">
        <v>46</v>
      </c>
      <c r="P18" s="2" t="s">
        <v>234</v>
      </c>
      <c r="Q18" s="2" t="n">
        <v>0.0056</v>
      </c>
      <c r="R18" s="2" t="n">
        <v>0.004</v>
      </c>
      <c r="S18" s="2" t="n">
        <v>0.0034</v>
      </c>
      <c r="T18" s="2" t="n">
        <v>-1</v>
      </c>
      <c r="U18" s="2" t="n">
        <v>0.0068</v>
      </c>
      <c r="V18" s="2" t="s">
        <v>235</v>
      </c>
      <c r="W18" s="2" t="s">
        <v>50</v>
      </c>
      <c r="X18" s="2" t="s">
        <v>50</v>
      </c>
      <c r="Y18" s="2" t="s">
        <v>50</v>
      </c>
      <c r="Z18" s="2" t="s">
        <v>236</v>
      </c>
      <c r="AA18" s="2" t="s">
        <v>237</v>
      </c>
      <c r="AB18" s="2" t="s">
        <v>238</v>
      </c>
      <c r="AC18" s="2" t="s">
        <v>53</v>
      </c>
      <c r="AD18" s="2" t="s">
        <v>54</v>
      </c>
      <c r="AE18" s="2" t="s">
        <v>239</v>
      </c>
      <c r="AF18" s="2" t="s">
        <v>240</v>
      </c>
      <c r="AG18" s="2" t="s">
        <v>241</v>
      </c>
      <c r="AH18" s="2" t="s">
        <v>242</v>
      </c>
      <c r="AI18" s="2" t="s">
        <v>50</v>
      </c>
      <c r="AJ18" s="2" t="s">
        <v>50</v>
      </c>
      <c r="AK18" s="2" t="s">
        <v>50</v>
      </c>
      <c r="AL18" s="2" t="s">
        <v>50</v>
      </c>
    </row>
    <row r="19" s="2" customFormat="true" ht="13.8" hidden="false" customHeight="false" outlineLevel="0" collapsed="false">
      <c r="B19" s="2" t="str">
        <f aca="false">HYPERLINK("https://genome.ucsc.edu/cgi-bin/hgTracks?db=hg19&amp;position=chr6%3A51637536%2D51637536", "chr6:51637536")</f>
        <v>chr6:51637536</v>
      </c>
      <c r="C19" s="2" t="s">
        <v>210</v>
      </c>
      <c r="D19" s="2" t="n">
        <v>51637536</v>
      </c>
      <c r="E19" s="2" t="n">
        <v>51637536</v>
      </c>
      <c r="F19" s="2" t="s">
        <v>74</v>
      </c>
      <c r="G19" s="2" t="s">
        <v>40</v>
      </c>
      <c r="H19" s="2" t="s">
        <v>243</v>
      </c>
      <c r="I19" s="2" t="s">
        <v>244</v>
      </c>
      <c r="J19" s="2" t="s">
        <v>245</v>
      </c>
      <c r="K19" s="2" t="s">
        <v>246</v>
      </c>
      <c r="L19" s="2" t="str">
        <f aca="false">HYPERLINK("https://www.ncbi.nlm.nih.gov/snp/rs142522748", "rs142522748")</f>
        <v>rs142522748</v>
      </c>
      <c r="M19" s="2" t="str">
        <f aca="false">HYPERLINK("https://www.genecards.org/Search/Keyword?queryString=%5Baliases%5D(%20PKHD1%20)&amp;keywords=PKHD1", "PKHD1")</f>
        <v>PKHD1</v>
      </c>
      <c r="N19" s="2" t="s">
        <v>92</v>
      </c>
      <c r="O19" s="2" t="s">
        <v>46</v>
      </c>
      <c r="P19" s="2" t="s">
        <v>247</v>
      </c>
      <c r="Q19" s="2" t="n">
        <v>0.0236</v>
      </c>
      <c r="R19" s="2" t="n">
        <v>0.0261</v>
      </c>
      <c r="S19" s="2" t="n">
        <v>0.0232</v>
      </c>
      <c r="T19" s="2" t="n">
        <v>-1</v>
      </c>
      <c r="U19" s="2" t="n">
        <v>0.0336</v>
      </c>
      <c r="V19" s="2" t="s">
        <v>248</v>
      </c>
      <c r="W19" s="2" t="s">
        <v>50</v>
      </c>
      <c r="X19" s="2" t="s">
        <v>50</v>
      </c>
      <c r="Y19" s="2" t="s">
        <v>50</v>
      </c>
      <c r="Z19" s="2" t="s">
        <v>51</v>
      </c>
      <c r="AA19" s="2" t="s">
        <v>69</v>
      </c>
      <c r="AB19" s="2" t="s">
        <v>134</v>
      </c>
      <c r="AC19" s="2" t="s">
        <v>53</v>
      </c>
      <c r="AD19" s="2" t="s">
        <v>226</v>
      </c>
      <c r="AE19" s="2" t="s">
        <v>227</v>
      </c>
      <c r="AF19" s="2" t="s">
        <v>228</v>
      </c>
      <c r="AG19" s="2" t="s">
        <v>229</v>
      </c>
      <c r="AH19" s="2" t="s">
        <v>50</v>
      </c>
      <c r="AI19" s="2" t="s">
        <v>50</v>
      </c>
      <c r="AJ19" s="2" t="s">
        <v>50</v>
      </c>
      <c r="AK19" s="2" t="s">
        <v>50</v>
      </c>
      <c r="AL19" s="2" t="s">
        <v>50</v>
      </c>
    </row>
    <row r="20" s="2" customFormat="true" ht="13.8" hidden="false" customHeight="false" outlineLevel="0" collapsed="false">
      <c r="B20" s="2" t="str">
        <f aca="false">HYPERLINK("https://genome.ucsc.edu/cgi-bin/hgTracks?db=hg19&amp;position=chr1%3A183536358%2D183536358", "chr1:183536358")</f>
        <v>chr1:183536358</v>
      </c>
      <c r="C20" s="2" t="s">
        <v>126</v>
      </c>
      <c r="D20" s="2" t="n">
        <v>183536358</v>
      </c>
      <c r="E20" s="2" t="n">
        <v>183536358</v>
      </c>
      <c r="F20" s="2" t="s">
        <v>74</v>
      </c>
      <c r="G20" s="2" t="s">
        <v>75</v>
      </c>
      <c r="H20" s="2" t="s">
        <v>249</v>
      </c>
      <c r="I20" s="2" t="s">
        <v>250</v>
      </c>
      <c r="J20" s="2" t="s">
        <v>251</v>
      </c>
      <c r="K20" s="2" t="s">
        <v>252</v>
      </c>
      <c r="L20" s="2" t="str">
        <f aca="false">HYPERLINK("https://www.ncbi.nlm.nih.gov/snp/rs13306581", "rs13306581")</f>
        <v>rs13306581</v>
      </c>
      <c r="M20" s="2" t="str">
        <f aca="false">HYPERLINK("https://www.genecards.org/Search/Keyword?queryString=%5Baliases%5D(%20NCF2%20)&amp;keywords=NCF2", "NCF2")</f>
        <v>NCF2</v>
      </c>
      <c r="N20" s="2" t="s">
        <v>92</v>
      </c>
      <c r="O20" s="2" t="s">
        <v>46</v>
      </c>
      <c r="P20" s="2" t="s">
        <v>253</v>
      </c>
      <c r="Q20" s="2" t="n">
        <v>0.0237</v>
      </c>
      <c r="R20" s="2" t="n">
        <v>0.0243</v>
      </c>
      <c r="S20" s="2" t="n">
        <v>0.0237</v>
      </c>
      <c r="T20" s="2" t="n">
        <v>-1</v>
      </c>
      <c r="U20" s="2" t="n">
        <v>0.0186</v>
      </c>
      <c r="V20" s="2" t="s">
        <v>121</v>
      </c>
      <c r="W20" s="2" t="s">
        <v>50</v>
      </c>
      <c r="X20" s="2" t="s">
        <v>50</v>
      </c>
      <c r="Y20" s="2" t="s">
        <v>50</v>
      </c>
      <c r="Z20" s="2" t="s">
        <v>175</v>
      </c>
      <c r="AA20" s="2" t="s">
        <v>133</v>
      </c>
      <c r="AB20" s="2" t="s">
        <v>134</v>
      </c>
      <c r="AC20" s="2" t="s">
        <v>53</v>
      </c>
      <c r="AD20" s="2" t="s">
        <v>54</v>
      </c>
      <c r="AE20" s="2" t="s">
        <v>254</v>
      </c>
      <c r="AF20" s="2" t="s">
        <v>255</v>
      </c>
      <c r="AG20" s="2" t="s">
        <v>256</v>
      </c>
      <c r="AH20" s="2" t="s">
        <v>257</v>
      </c>
      <c r="AI20" s="2" t="s">
        <v>50</v>
      </c>
      <c r="AJ20" s="2" t="s">
        <v>50</v>
      </c>
      <c r="AK20" s="2" t="s">
        <v>50</v>
      </c>
      <c r="AL20" s="2" t="s">
        <v>50</v>
      </c>
    </row>
    <row r="21" customFormat="false" ht="13.8" hidden="false" customHeight="false" outlineLevel="0" collapsed="false">
      <c r="B21" s="0" t="str">
        <f aca="false">HYPERLINK("https://genome.ucsc.edu/cgi-bin/hgTracks?db=hg19&amp;position=chr2%3A233001350%2D233001350", "chr2:233001350")</f>
        <v>chr2:233001350</v>
      </c>
      <c r="C21" s="0" t="s">
        <v>258</v>
      </c>
      <c r="D21" s="0" t="n">
        <v>233001350</v>
      </c>
      <c r="E21" s="0" t="n">
        <v>233001350</v>
      </c>
      <c r="F21" s="0" t="s">
        <v>74</v>
      </c>
      <c r="G21" s="0" t="s">
        <v>75</v>
      </c>
      <c r="H21" s="0" t="s">
        <v>259</v>
      </c>
      <c r="I21" s="0" t="s">
        <v>260</v>
      </c>
      <c r="J21" s="0" t="s">
        <v>261</v>
      </c>
      <c r="K21" s="0" t="s">
        <v>50</v>
      </c>
      <c r="L21" s="0" t="s">
        <v>50</v>
      </c>
      <c r="M21" s="0" t="str">
        <f aca="false">HYPERLINK("https://www.genecards.org/Search/Keyword?queryString=%5Baliases%5D(%20DIS3L2%20)&amp;keywords=DIS3L2", "DIS3L2")</f>
        <v>DIS3L2</v>
      </c>
      <c r="N21" s="0" t="s">
        <v>92</v>
      </c>
      <c r="O21" s="0" t="s">
        <v>262</v>
      </c>
      <c r="P21" s="0" t="s">
        <v>263</v>
      </c>
      <c r="Q21" s="0" t="n">
        <v>-1</v>
      </c>
      <c r="R21" s="0" t="n">
        <v>-1</v>
      </c>
      <c r="S21" s="0" t="n">
        <v>-1</v>
      </c>
      <c r="T21" s="0" t="n">
        <v>-1</v>
      </c>
      <c r="U21" s="0" t="n">
        <v>-1</v>
      </c>
      <c r="V21" s="0" t="s">
        <v>264</v>
      </c>
      <c r="W21" s="0" t="s">
        <v>50</v>
      </c>
      <c r="X21" s="0" t="s">
        <v>50</v>
      </c>
      <c r="Y21" s="0" t="s">
        <v>50</v>
      </c>
      <c r="Z21" s="0" t="s">
        <v>109</v>
      </c>
      <c r="AA21" s="0" t="s">
        <v>110</v>
      </c>
      <c r="AB21" s="0" t="s">
        <v>144</v>
      </c>
      <c r="AC21" s="0" t="s">
        <v>53</v>
      </c>
      <c r="AD21" s="0" t="s">
        <v>54</v>
      </c>
      <c r="AE21" s="0" t="s">
        <v>265</v>
      </c>
      <c r="AF21" s="0" t="s">
        <v>266</v>
      </c>
      <c r="AG21" s="0" t="s">
        <v>267</v>
      </c>
      <c r="AH21" s="0" t="s">
        <v>268</v>
      </c>
      <c r="AI21" s="0" t="s">
        <v>50</v>
      </c>
      <c r="AJ21" s="0" t="s">
        <v>50</v>
      </c>
      <c r="AK21" s="0" t="s">
        <v>50</v>
      </c>
      <c r="AL21" s="0" t="s">
        <v>50</v>
      </c>
    </row>
    <row r="22" customFormat="false" ht="13.8" hidden="false" customHeight="false" outlineLevel="0" collapsed="false">
      <c r="A22" s="2"/>
      <c r="B22" s="2" t="str">
        <f aca="false">HYPERLINK("https://genome.ucsc.edu/cgi-bin/hgTracks?db=hg19&amp;position=chr7%3A151927023%2D151927023", "chr7:151927023")</f>
        <v>chr7:151927023</v>
      </c>
      <c r="C22" s="2" t="s">
        <v>269</v>
      </c>
      <c r="D22" s="2" t="n">
        <v>151927023</v>
      </c>
      <c r="E22" s="2" t="n">
        <v>151927023</v>
      </c>
      <c r="F22" s="2" t="s">
        <v>74</v>
      </c>
      <c r="G22" s="2" t="s">
        <v>39</v>
      </c>
      <c r="H22" s="2" t="s">
        <v>270</v>
      </c>
      <c r="I22" s="2" t="s">
        <v>271</v>
      </c>
      <c r="J22" s="2" t="s">
        <v>272</v>
      </c>
      <c r="K22" s="2" t="s">
        <v>50</v>
      </c>
      <c r="L22" s="2" t="str">
        <f aca="false">HYPERLINK("https://www.ncbi.nlm.nih.gov/snp/rs58528565", "rs58528565")</f>
        <v>rs58528565</v>
      </c>
      <c r="M22" s="2" t="str">
        <f aca="false">HYPERLINK("https://www.genecards.org/Search/Keyword?queryString=%5Baliases%5D(%20KMT2C%20)&amp;keywords=KMT2C", "KMT2C")</f>
        <v>KMT2C</v>
      </c>
      <c r="N22" s="2" t="s">
        <v>92</v>
      </c>
      <c r="O22" s="2" t="s">
        <v>93</v>
      </c>
      <c r="P22" s="2" t="s">
        <v>273</v>
      </c>
      <c r="Q22" s="2" t="n">
        <v>1.94E-005</v>
      </c>
      <c r="R22" s="2" t="n">
        <v>-1</v>
      </c>
      <c r="S22" s="2" t="n">
        <v>-1</v>
      </c>
      <c r="T22" s="2" t="n">
        <v>-1</v>
      </c>
      <c r="U22" s="2" t="n">
        <v>-1</v>
      </c>
      <c r="V22" s="2" t="s">
        <v>95</v>
      </c>
      <c r="W22" s="2" t="s">
        <v>50</v>
      </c>
      <c r="X22" s="2" t="s">
        <v>50</v>
      </c>
      <c r="Y22" s="2" t="s">
        <v>50</v>
      </c>
      <c r="Z22" s="2" t="s">
        <v>51</v>
      </c>
      <c r="AA22" s="2" t="s">
        <v>97</v>
      </c>
      <c r="AB22" s="2" t="s">
        <v>144</v>
      </c>
      <c r="AC22" s="2" t="s">
        <v>53</v>
      </c>
      <c r="AD22" s="2" t="s">
        <v>226</v>
      </c>
      <c r="AE22" s="2" t="s">
        <v>274</v>
      </c>
      <c r="AF22" s="2" t="s">
        <v>275</v>
      </c>
      <c r="AG22" s="2" t="s">
        <v>276</v>
      </c>
      <c r="AH22" s="2" t="s">
        <v>50</v>
      </c>
      <c r="AI22" s="2" t="s">
        <v>50</v>
      </c>
      <c r="AJ22" s="2" t="s">
        <v>50</v>
      </c>
      <c r="AK22" s="2" t="s">
        <v>50</v>
      </c>
      <c r="AL22" s="2" t="s">
        <v>277</v>
      </c>
    </row>
    <row r="23" customFormat="false" ht="13.8" hidden="false" customHeight="false" outlineLevel="0" collapsed="false">
      <c r="B23" s="0" t="str">
        <f aca="false">HYPERLINK("https://genome.ucsc.edu/cgi-bin/hgTracks?db=hg19&amp;position=chr18%3A47351227%2D47351227", "chr18:47351227")</f>
        <v>chr18:47351227</v>
      </c>
      <c r="C23" s="0" t="s">
        <v>278</v>
      </c>
      <c r="D23" s="0" t="n">
        <v>47351227</v>
      </c>
      <c r="E23" s="0" t="n">
        <v>47351227</v>
      </c>
      <c r="F23" s="0" t="s">
        <v>75</v>
      </c>
      <c r="G23" s="0" t="s">
        <v>74</v>
      </c>
      <c r="H23" s="0" t="s">
        <v>279</v>
      </c>
      <c r="I23" s="0" t="s">
        <v>280</v>
      </c>
      <c r="J23" s="0" t="s">
        <v>281</v>
      </c>
      <c r="K23" s="0" t="s">
        <v>50</v>
      </c>
      <c r="L23" s="0" t="str">
        <f aca="false">HYPERLINK("https://www.ncbi.nlm.nih.gov/snp/rs111994054", "rs111994054")</f>
        <v>rs111994054</v>
      </c>
      <c r="M23" s="0" t="str">
        <f aca="false">HYPERLINK("https://www.genecards.org/Search/Keyword?queryString=%5Baliases%5D(%20MYO5B%20)%20OR%20%5Baliases%5D(%20SNHG22%20)&amp;keywords=MYO5B,SNHG22", "MYO5B;SNHG22")</f>
        <v>MYO5B;SNHG22</v>
      </c>
      <c r="N23" s="0" t="s">
        <v>282</v>
      </c>
      <c r="O23" s="0" t="s">
        <v>50</v>
      </c>
      <c r="P23" s="0" t="s">
        <v>283</v>
      </c>
      <c r="Q23" s="0" t="n">
        <v>0.0209</v>
      </c>
      <c r="R23" s="0" t="n">
        <v>0.021</v>
      </c>
      <c r="S23" s="0" t="n">
        <v>0.0192</v>
      </c>
      <c r="T23" s="0" t="n">
        <v>-1</v>
      </c>
      <c r="U23" s="0" t="n">
        <v>0.0198</v>
      </c>
      <c r="V23" s="0" t="s">
        <v>50</v>
      </c>
      <c r="W23" s="0" t="s">
        <v>50</v>
      </c>
      <c r="X23" s="0" t="s">
        <v>50</v>
      </c>
      <c r="Y23" s="0" t="s">
        <v>50</v>
      </c>
      <c r="Z23" s="0" t="s">
        <v>50</v>
      </c>
      <c r="AA23" s="0" t="s">
        <v>50</v>
      </c>
      <c r="AB23" s="0" t="s">
        <v>144</v>
      </c>
      <c r="AC23" s="0" t="s">
        <v>53</v>
      </c>
      <c r="AD23" s="0" t="s">
        <v>284</v>
      </c>
      <c r="AE23" s="0" t="s">
        <v>285</v>
      </c>
      <c r="AF23" s="0" t="s">
        <v>286</v>
      </c>
      <c r="AG23" s="0" t="s">
        <v>287</v>
      </c>
      <c r="AH23" s="0" t="s">
        <v>288</v>
      </c>
      <c r="AI23" s="0" t="s">
        <v>50</v>
      </c>
      <c r="AJ23" s="0" t="s">
        <v>50</v>
      </c>
      <c r="AK23" s="0" t="s">
        <v>50</v>
      </c>
      <c r="AL23" s="0" t="s">
        <v>50</v>
      </c>
    </row>
    <row r="24" customFormat="false" ht="13.8" hidden="false" customHeight="false" outlineLevel="0" collapsed="false">
      <c r="B24" s="0" t="str">
        <f aca="false">HYPERLINK("https://genome.ucsc.edu/cgi-bin/hgTracks?db=hg19&amp;position=chr2%3A27587266%2D27587266", "chr2:27587266")</f>
        <v>chr2:27587266</v>
      </c>
      <c r="C24" s="0" t="s">
        <v>258</v>
      </c>
      <c r="D24" s="0" t="n">
        <v>27587266</v>
      </c>
      <c r="E24" s="0" t="n">
        <v>27587266</v>
      </c>
      <c r="F24" s="0" t="s">
        <v>74</v>
      </c>
      <c r="G24" s="0" t="s">
        <v>75</v>
      </c>
      <c r="H24" s="0" t="s">
        <v>289</v>
      </c>
      <c r="I24" s="0" t="s">
        <v>290</v>
      </c>
      <c r="J24" s="0" t="s">
        <v>291</v>
      </c>
      <c r="K24" s="0" t="s">
        <v>50</v>
      </c>
      <c r="L24" s="0" t="str">
        <f aca="false">HYPERLINK("https://www.ncbi.nlm.nih.gov/snp/rs41288827", "rs41288827")</f>
        <v>rs41288827</v>
      </c>
      <c r="M24" s="0" t="str">
        <f aca="false">HYPERLINK("https://www.genecards.org/Search/Keyword?queryString=%5Baliases%5D(%20EIF2B4%20)&amp;keywords=EIF2B4", "EIF2B4")</f>
        <v>EIF2B4</v>
      </c>
      <c r="N24" s="0" t="s">
        <v>282</v>
      </c>
      <c r="O24" s="0" t="s">
        <v>50</v>
      </c>
      <c r="P24" s="0" t="s">
        <v>292</v>
      </c>
      <c r="Q24" s="0" t="n">
        <v>0.0189</v>
      </c>
      <c r="R24" s="0" t="n">
        <v>0.0168</v>
      </c>
      <c r="S24" s="0" t="n">
        <v>0.0187</v>
      </c>
      <c r="T24" s="0" t="n">
        <v>-1</v>
      </c>
      <c r="U24" s="0" t="n">
        <v>0.0207</v>
      </c>
      <c r="V24" s="0" t="s">
        <v>50</v>
      </c>
      <c r="W24" s="0" t="s">
        <v>50</v>
      </c>
      <c r="X24" s="0" t="s">
        <v>50</v>
      </c>
      <c r="Y24" s="0" t="s">
        <v>50</v>
      </c>
      <c r="Z24" s="0" t="s">
        <v>50</v>
      </c>
      <c r="AA24" s="0" t="s">
        <v>50</v>
      </c>
      <c r="AB24" s="0" t="s">
        <v>144</v>
      </c>
      <c r="AC24" s="0" t="s">
        <v>53</v>
      </c>
      <c r="AD24" s="0" t="s">
        <v>54</v>
      </c>
      <c r="AE24" s="0" t="s">
        <v>293</v>
      </c>
      <c r="AF24" s="0" t="s">
        <v>294</v>
      </c>
      <c r="AG24" s="0" t="s">
        <v>295</v>
      </c>
      <c r="AH24" s="0" t="s">
        <v>296</v>
      </c>
      <c r="AI24" s="0" t="s">
        <v>50</v>
      </c>
      <c r="AJ24" s="0" t="s">
        <v>50</v>
      </c>
      <c r="AK24" s="0" t="s">
        <v>50</v>
      </c>
      <c r="AL24" s="0" t="s">
        <v>50</v>
      </c>
    </row>
    <row r="25" customFormat="false" ht="13.8" hidden="false" customHeight="false" outlineLevel="0" collapsed="false">
      <c r="B25" s="0" t="str">
        <f aca="false">HYPERLINK("https://genome.ucsc.edu/cgi-bin/hgTracks?db=hg19&amp;position=chr22%3A41575898%2D41575898", "chr22:41575898")</f>
        <v>chr22:41575898</v>
      </c>
      <c r="C25" s="0" t="s">
        <v>297</v>
      </c>
      <c r="D25" s="0" t="n">
        <v>41575898</v>
      </c>
      <c r="E25" s="0" t="n">
        <v>41575898</v>
      </c>
      <c r="F25" s="0" t="s">
        <v>75</v>
      </c>
      <c r="G25" s="0" t="s">
        <v>39</v>
      </c>
      <c r="H25" s="0" t="s">
        <v>298</v>
      </c>
      <c r="I25" s="0" t="s">
        <v>299</v>
      </c>
      <c r="J25" s="0" t="s">
        <v>300</v>
      </c>
      <c r="K25" s="0" t="s">
        <v>50</v>
      </c>
      <c r="L25" s="0" t="str">
        <f aca="false">HYPERLINK("https://www.ncbi.nlm.nih.gov/snp/rs886057586", "rs886057586")</f>
        <v>rs886057586</v>
      </c>
      <c r="M25" s="0" t="str">
        <f aca="false">HYPERLINK("https://www.genecards.org/Search/Keyword?queryString=%5Baliases%5D(%20EP300%20)&amp;keywords=EP300", "EP300")</f>
        <v>EP300</v>
      </c>
      <c r="N25" s="0" t="s">
        <v>282</v>
      </c>
      <c r="O25" s="0" t="s">
        <v>50</v>
      </c>
      <c r="P25" s="0" t="s">
        <v>301</v>
      </c>
      <c r="Q25" s="0" t="n">
        <v>0.0117</v>
      </c>
      <c r="R25" s="0" t="n">
        <v>0.0018</v>
      </c>
      <c r="S25" s="0" t="n">
        <v>0.0018</v>
      </c>
      <c r="T25" s="0" t="n">
        <v>-1</v>
      </c>
      <c r="U25" s="0" t="n">
        <v>0.0015</v>
      </c>
      <c r="V25" s="0" t="s">
        <v>50</v>
      </c>
      <c r="W25" s="0" t="s">
        <v>50</v>
      </c>
      <c r="X25" s="0" t="s">
        <v>50</v>
      </c>
      <c r="Y25" s="0" t="s">
        <v>50</v>
      </c>
      <c r="Z25" s="0" t="s">
        <v>50</v>
      </c>
      <c r="AA25" s="0" t="s">
        <v>50</v>
      </c>
      <c r="AB25" s="0" t="s">
        <v>144</v>
      </c>
      <c r="AC25" s="0" t="s">
        <v>53</v>
      </c>
      <c r="AD25" s="0" t="s">
        <v>302</v>
      </c>
      <c r="AE25" s="0" t="s">
        <v>303</v>
      </c>
      <c r="AF25" s="0" t="s">
        <v>304</v>
      </c>
      <c r="AG25" s="0" t="s">
        <v>305</v>
      </c>
      <c r="AH25" s="0" t="s">
        <v>306</v>
      </c>
      <c r="AI25" s="0" t="s">
        <v>50</v>
      </c>
      <c r="AJ25" s="0" t="s">
        <v>50</v>
      </c>
      <c r="AK25" s="0" t="s">
        <v>50</v>
      </c>
      <c r="AL25" s="0" t="s">
        <v>50</v>
      </c>
    </row>
    <row r="26" customFormat="false" ht="13.8" hidden="false" customHeight="false" outlineLevel="0" collapsed="false">
      <c r="A26" s="2" t="s">
        <v>87</v>
      </c>
      <c r="B26" s="2" t="str">
        <f aca="false">HYPERLINK("https://genome.ucsc.edu/cgi-bin/hgTracks?db=hg19&amp;position=chr15%3A43906634%2D43906637", "chr15:43906634")</f>
        <v>chr15:43906634</v>
      </c>
      <c r="C26" s="2" t="s">
        <v>59</v>
      </c>
      <c r="D26" s="2" t="n">
        <v>43906634</v>
      </c>
      <c r="E26" s="2" t="n">
        <v>43906637</v>
      </c>
      <c r="F26" s="2" t="s">
        <v>307</v>
      </c>
      <c r="G26" s="2" t="s">
        <v>308</v>
      </c>
      <c r="H26" s="2" t="s">
        <v>309</v>
      </c>
      <c r="I26" s="2" t="s">
        <v>310</v>
      </c>
      <c r="J26" s="2" t="s">
        <v>311</v>
      </c>
      <c r="K26" s="2" t="s">
        <v>50</v>
      </c>
      <c r="L26" s="2" t="str">
        <f aca="false">HYPERLINK("https://www.ncbi.nlm.nih.gov/snp/rs786200883", "rs786200883")</f>
        <v>rs786200883</v>
      </c>
      <c r="M26" s="2" t="str">
        <f aca="false">HYPERLINK("https://www.genecards.org/Search/Keyword?queryString=%5Baliases%5D(%20STRC%20)&amp;keywords=STRC", "STRC")</f>
        <v>STRC</v>
      </c>
      <c r="N26" s="2" t="s">
        <v>92</v>
      </c>
      <c r="O26" s="2" t="s">
        <v>312</v>
      </c>
      <c r="P26" s="2" t="s">
        <v>313</v>
      </c>
      <c r="Q26" s="2" t="n">
        <v>0.0007</v>
      </c>
      <c r="R26" s="2" t="n">
        <v>0.0011</v>
      </c>
      <c r="S26" s="2" t="n">
        <v>0.0008</v>
      </c>
      <c r="T26" s="2" t="n">
        <v>-1</v>
      </c>
      <c r="U26" s="2" t="n">
        <v>0.0025</v>
      </c>
      <c r="V26" s="2" t="s">
        <v>50</v>
      </c>
      <c r="W26" s="2" t="s">
        <v>50</v>
      </c>
      <c r="X26" s="2" t="s">
        <v>50</v>
      </c>
      <c r="Y26" s="2" t="s">
        <v>50</v>
      </c>
      <c r="Z26" s="2" t="s">
        <v>50</v>
      </c>
      <c r="AA26" s="2" t="s">
        <v>50</v>
      </c>
      <c r="AB26" s="2" t="s">
        <v>97</v>
      </c>
      <c r="AC26" s="2" t="s">
        <v>53</v>
      </c>
      <c r="AD26" s="2" t="s">
        <v>54</v>
      </c>
      <c r="AE26" s="2" t="s">
        <v>314</v>
      </c>
      <c r="AF26" s="2" t="s">
        <v>315</v>
      </c>
      <c r="AG26" s="2" t="s">
        <v>316</v>
      </c>
      <c r="AH26" s="2" t="s">
        <v>317</v>
      </c>
      <c r="AI26" s="2" t="s">
        <v>50</v>
      </c>
      <c r="AJ26" s="2" t="s">
        <v>50</v>
      </c>
      <c r="AK26" s="2" t="s">
        <v>50</v>
      </c>
      <c r="AL26" s="2" t="s">
        <v>277</v>
      </c>
    </row>
    <row r="27" customFormat="false" ht="13.8" hidden="false" customHeight="false" outlineLevel="0" collapsed="false">
      <c r="A27" s="2" t="s">
        <v>87</v>
      </c>
      <c r="B27" s="2" t="str">
        <f aca="false">HYPERLINK("https://genome.ucsc.edu/cgi-bin/hgTracks?db=hg19&amp;position=chr4%3A3494833%2D3494833", "chr4:3494833")</f>
        <v>chr4:3494833</v>
      </c>
      <c r="C27" s="2" t="s">
        <v>318</v>
      </c>
      <c r="D27" s="2" t="n">
        <v>3494833</v>
      </c>
      <c r="E27" s="2" t="n">
        <v>3494833</v>
      </c>
      <c r="F27" s="2" t="s">
        <v>308</v>
      </c>
      <c r="G27" s="2" t="s">
        <v>319</v>
      </c>
      <c r="H27" s="2" t="s">
        <v>320</v>
      </c>
      <c r="I27" s="2" t="s">
        <v>321</v>
      </c>
      <c r="J27" s="2" t="s">
        <v>322</v>
      </c>
      <c r="K27" s="2" t="s">
        <v>50</v>
      </c>
      <c r="L27" s="2" t="str">
        <f aca="false">HYPERLINK("https://www.ncbi.nlm.nih.gov/snp/rs606231128", "rs606231128")</f>
        <v>rs606231128</v>
      </c>
      <c r="M27" s="2" t="str">
        <f aca="false">HYPERLINK("https://www.genecards.org/Search/Keyword?queryString=%5Baliases%5D(%20DOK7%20)&amp;keywords=DOK7", "DOK7")</f>
        <v>DOK7</v>
      </c>
      <c r="N27" s="2" t="s">
        <v>92</v>
      </c>
      <c r="O27" s="2" t="s">
        <v>323</v>
      </c>
      <c r="P27" s="2" t="s">
        <v>324</v>
      </c>
      <c r="Q27" s="2" t="n">
        <v>0.0021</v>
      </c>
      <c r="R27" s="2" t="n">
        <v>0.0025</v>
      </c>
      <c r="S27" s="2" t="n">
        <v>0.0021</v>
      </c>
      <c r="T27" s="2" t="n">
        <v>-1</v>
      </c>
      <c r="U27" s="2" t="n">
        <v>0.0036</v>
      </c>
      <c r="V27" s="2" t="s">
        <v>50</v>
      </c>
      <c r="W27" s="2" t="s">
        <v>50</v>
      </c>
      <c r="X27" s="2" t="s">
        <v>50</v>
      </c>
      <c r="Y27" s="2" t="s">
        <v>50</v>
      </c>
      <c r="Z27" s="2" t="s">
        <v>50</v>
      </c>
      <c r="AA27" s="2" t="s">
        <v>50</v>
      </c>
      <c r="AB27" s="2" t="s">
        <v>97</v>
      </c>
      <c r="AC27" s="2" t="s">
        <v>53</v>
      </c>
      <c r="AD27" s="2" t="s">
        <v>54</v>
      </c>
      <c r="AE27" s="2" t="s">
        <v>325</v>
      </c>
      <c r="AF27" s="2" t="s">
        <v>326</v>
      </c>
      <c r="AG27" s="2" t="s">
        <v>327</v>
      </c>
      <c r="AH27" s="2" t="s">
        <v>328</v>
      </c>
      <c r="AI27" s="2" t="s">
        <v>50</v>
      </c>
      <c r="AJ27" s="2" t="s">
        <v>50</v>
      </c>
      <c r="AK27" s="2" t="s">
        <v>50</v>
      </c>
      <c r="AL27" s="2" t="s">
        <v>50</v>
      </c>
    </row>
    <row r="28" customFormat="false" ht="13.8" hidden="false" customHeight="false" outlineLevel="0" collapsed="false">
      <c r="A28" s="2"/>
      <c r="B28" s="2" t="str">
        <f aca="false">HYPERLINK("https://genome.ucsc.edu/cgi-bin/hgTracks?db=hg19&amp;position=chr3%3A113377481%2D113377481", "chr3:113377481")</f>
        <v>chr3:113377481</v>
      </c>
      <c r="C28" s="2" t="s">
        <v>115</v>
      </c>
      <c r="D28" s="2" t="n">
        <v>113377481</v>
      </c>
      <c r="E28" s="2" t="n">
        <v>113377481</v>
      </c>
      <c r="F28" s="2" t="s">
        <v>308</v>
      </c>
      <c r="G28" s="2" t="s">
        <v>40</v>
      </c>
      <c r="H28" s="2" t="s">
        <v>329</v>
      </c>
      <c r="I28" s="2" t="s">
        <v>330</v>
      </c>
      <c r="J28" s="2" t="s">
        <v>331</v>
      </c>
      <c r="K28" s="2" t="s">
        <v>50</v>
      </c>
      <c r="L28" s="2" t="str">
        <f aca="false">HYPERLINK("https://www.ncbi.nlm.nih.gov/snp/rs766218926", "rs766218926")</f>
        <v>rs766218926</v>
      </c>
      <c r="M28" s="2" t="str">
        <f aca="false">HYPERLINK("https://www.genecards.org/Search/Keyword?queryString=%5Baliases%5D(%20KIAA2018%20)%20OR%20%5Baliases%5D(%20USF3%20)&amp;keywords=KIAA2018,USF3", "KIAA2018;USF3")</f>
        <v>KIAA2018;USF3</v>
      </c>
      <c r="N28" s="2" t="s">
        <v>92</v>
      </c>
      <c r="O28" s="2" t="s">
        <v>323</v>
      </c>
      <c r="P28" s="2" t="s">
        <v>332</v>
      </c>
      <c r="Q28" s="2" t="n">
        <v>0.0126</v>
      </c>
      <c r="R28" s="2" t="n">
        <v>0.0114</v>
      </c>
      <c r="S28" s="2" t="n">
        <v>0.0024</v>
      </c>
      <c r="T28" s="2" t="n">
        <v>-1</v>
      </c>
      <c r="U28" s="2" t="n">
        <v>0.0086</v>
      </c>
      <c r="V28" s="2" t="s">
        <v>50</v>
      </c>
      <c r="W28" s="2" t="s">
        <v>50</v>
      </c>
      <c r="X28" s="2" t="s">
        <v>50</v>
      </c>
      <c r="Y28" s="2" t="s">
        <v>50</v>
      </c>
      <c r="Z28" s="2" t="s">
        <v>50</v>
      </c>
      <c r="AA28" s="2" t="s">
        <v>50</v>
      </c>
      <c r="AB28" s="2" t="s">
        <v>333</v>
      </c>
      <c r="AC28" s="2" t="s">
        <v>53</v>
      </c>
      <c r="AD28" s="2" t="s">
        <v>157</v>
      </c>
      <c r="AE28" s="2" t="s">
        <v>50</v>
      </c>
      <c r="AF28" s="2" t="s">
        <v>334</v>
      </c>
      <c r="AG28" s="2" t="s">
        <v>50</v>
      </c>
      <c r="AH28" s="2" t="s">
        <v>50</v>
      </c>
      <c r="AI28" s="2" t="s">
        <v>50</v>
      </c>
      <c r="AJ28" s="2" t="s">
        <v>50</v>
      </c>
      <c r="AK28" s="2" t="s">
        <v>50</v>
      </c>
      <c r="AL28" s="2" t="s">
        <v>50</v>
      </c>
    </row>
    <row r="29" customFormat="false" ht="13.8" hidden="false" customHeight="false" outlineLevel="0" collapsed="false">
      <c r="B29" s="0" t="str">
        <f aca="false">HYPERLINK("https://genome.ucsc.edu/cgi-bin/hgTracks?db=hg19&amp;position=chr12%3A133197789%2D133197789", "chr12:133197789")</f>
        <v>chr12:133197789</v>
      </c>
      <c r="C29" s="0" t="s">
        <v>335</v>
      </c>
      <c r="D29" s="0" t="n">
        <v>133197789</v>
      </c>
      <c r="E29" s="0" t="n">
        <v>133197789</v>
      </c>
      <c r="F29" s="0" t="s">
        <v>74</v>
      </c>
      <c r="G29" s="0" t="s">
        <v>75</v>
      </c>
      <c r="H29" s="0" t="s">
        <v>336</v>
      </c>
      <c r="I29" s="0" t="s">
        <v>337</v>
      </c>
      <c r="J29" s="0" t="s">
        <v>338</v>
      </c>
      <c r="K29" s="0" t="s">
        <v>50</v>
      </c>
      <c r="L29" s="0" t="str">
        <f aca="false">HYPERLINK("https://www.ncbi.nlm.nih.gov/snp/rs191630133", "rs191630133")</f>
        <v>rs191630133</v>
      </c>
      <c r="M29" s="0" t="str">
        <f aca="false">HYPERLINK("https://www.genecards.org/Search/Keyword?queryString=%5Baliases%5D(%20P2RX2%20)&amp;keywords=P2RX2", "P2RX2")</f>
        <v>P2RX2</v>
      </c>
      <c r="N29" s="0" t="s">
        <v>80</v>
      </c>
      <c r="O29" s="0" t="s">
        <v>50</v>
      </c>
      <c r="P29" s="0" t="s">
        <v>50</v>
      </c>
      <c r="Q29" s="0" t="n">
        <v>0.0294</v>
      </c>
      <c r="R29" s="0" t="n">
        <v>0.0204</v>
      </c>
      <c r="S29" s="0" t="n">
        <v>0.0205</v>
      </c>
      <c r="T29" s="0" t="n">
        <v>-1</v>
      </c>
      <c r="U29" s="0" t="n">
        <v>0.0214</v>
      </c>
      <c r="V29" s="0" t="s">
        <v>50</v>
      </c>
      <c r="W29" s="0" t="s">
        <v>50</v>
      </c>
      <c r="X29" s="0" t="s">
        <v>81</v>
      </c>
      <c r="Y29" s="0" t="s">
        <v>82</v>
      </c>
      <c r="Z29" s="0" t="s">
        <v>50</v>
      </c>
      <c r="AA29" s="0" t="s">
        <v>50</v>
      </c>
      <c r="AB29" s="0" t="s">
        <v>339</v>
      </c>
      <c r="AC29" s="0" t="s">
        <v>53</v>
      </c>
      <c r="AD29" s="0" t="s">
        <v>54</v>
      </c>
      <c r="AE29" s="0" t="s">
        <v>340</v>
      </c>
      <c r="AF29" s="0" t="s">
        <v>341</v>
      </c>
      <c r="AG29" s="0" t="s">
        <v>342</v>
      </c>
      <c r="AH29" s="0" t="s">
        <v>343</v>
      </c>
      <c r="AI29" s="0" t="s">
        <v>50</v>
      </c>
      <c r="AJ29" s="0" t="s">
        <v>50</v>
      </c>
      <c r="AK29" s="0" t="s">
        <v>50</v>
      </c>
      <c r="AL29" s="0" t="s">
        <v>50</v>
      </c>
    </row>
    <row r="30" customFormat="false" ht="13.8" hidden="false" customHeight="false" outlineLevel="0" collapsed="false">
      <c r="B30" s="0" t="str">
        <f aca="false">HYPERLINK("https://genome.ucsc.edu/cgi-bin/hgTracks?db=hg19&amp;position=chr19%3A41727780%2D41727780", "chr19:41727780")</f>
        <v>chr19:41727780</v>
      </c>
      <c r="C30" s="0" t="s">
        <v>102</v>
      </c>
      <c r="D30" s="0" t="n">
        <v>41727780</v>
      </c>
      <c r="E30" s="0" t="n">
        <v>41727780</v>
      </c>
      <c r="F30" s="0" t="s">
        <v>74</v>
      </c>
      <c r="G30" s="0" t="s">
        <v>75</v>
      </c>
      <c r="H30" s="0" t="s">
        <v>344</v>
      </c>
      <c r="I30" s="0" t="s">
        <v>345</v>
      </c>
      <c r="J30" s="0" t="s">
        <v>346</v>
      </c>
      <c r="K30" s="0" t="s">
        <v>50</v>
      </c>
      <c r="L30" s="0" t="str">
        <f aca="false">HYPERLINK("https://www.ncbi.nlm.nih.gov/snp/rs372322012", "rs372322012")</f>
        <v>rs372322012</v>
      </c>
      <c r="M30" s="0" t="str">
        <f aca="false">HYPERLINK("https://www.genecards.org/Search/Keyword?queryString=%5Baliases%5D(%20AXL%20)&amp;keywords=AXL", "AXL")</f>
        <v>AXL</v>
      </c>
      <c r="N30" s="0" t="s">
        <v>347</v>
      </c>
      <c r="O30" s="0" t="s">
        <v>50</v>
      </c>
      <c r="P30" s="0" t="s">
        <v>50</v>
      </c>
      <c r="Q30" s="0" t="n">
        <v>0.0009</v>
      </c>
      <c r="R30" s="0" t="n">
        <v>0.001</v>
      </c>
      <c r="S30" s="0" t="n">
        <v>0.0008</v>
      </c>
      <c r="T30" s="0" t="n">
        <v>-1</v>
      </c>
      <c r="U30" s="0" t="n">
        <v>0.0016</v>
      </c>
      <c r="V30" s="0" t="s">
        <v>50</v>
      </c>
      <c r="W30" s="0" t="s">
        <v>40</v>
      </c>
      <c r="X30" s="0" t="s">
        <v>348</v>
      </c>
      <c r="Y30" s="0" t="s">
        <v>67</v>
      </c>
      <c r="Z30" s="0" t="s">
        <v>50</v>
      </c>
      <c r="AA30" s="0" t="s">
        <v>50</v>
      </c>
      <c r="AB30" s="0" t="s">
        <v>339</v>
      </c>
      <c r="AC30" s="0" t="s">
        <v>53</v>
      </c>
      <c r="AD30" s="0" t="s">
        <v>54</v>
      </c>
      <c r="AE30" s="0" t="s">
        <v>349</v>
      </c>
      <c r="AF30" s="0" t="s">
        <v>350</v>
      </c>
      <c r="AG30" s="0" t="s">
        <v>351</v>
      </c>
      <c r="AH30" s="0" t="s">
        <v>352</v>
      </c>
      <c r="AI30" s="0" t="s">
        <v>50</v>
      </c>
      <c r="AJ30" s="0" t="s">
        <v>50</v>
      </c>
      <c r="AK30" s="0" t="s">
        <v>50</v>
      </c>
      <c r="AL30" s="0" t="s">
        <v>50</v>
      </c>
    </row>
    <row r="31" s="2" customFormat="true" ht="13.8" hidden="false" customHeight="false" outlineLevel="0" collapsed="false">
      <c r="B31" s="2" t="str">
        <f aca="false">HYPERLINK("https://genome.ucsc.edu/cgi-bin/hgTracks?db=hg19&amp;position=chr2%3A179563702%2D179563702", "chr2:179563702")</f>
        <v>chr2:179563702</v>
      </c>
      <c r="C31" s="2" t="s">
        <v>258</v>
      </c>
      <c r="D31" s="2" t="n">
        <v>179563702</v>
      </c>
      <c r="E31" s="2" t="n">
        <v>179563702</v>
      </c>
      <c r="F31" s="2" t="s">
        <v>39</v>
      </c>
      <c r="G31" s="2" t="s">
        <v>40</v>
      </c>
      <c r="H31" s="2" t="s">
        <v>353</v>
      </c>
      <c r="I31" s="2" t="s">
        <v>128</v>
      </c>
      <c r="J31" s="2" t="s">
        <v>354</v>
      </c>
      <c r="K31" s="2" t="s">
        <v>50</v>
      </c>
      <c r="L31" s="2" t="str">
        <f aca="false">HYPERLINK("https://www.ncbi.nlm.nih.gov/snp/rs116053231", "rs116053231")</f>
        <v>rs116053231</v>
      </c>
      <c r="M31" s="2" t="str">
        <f aca="false">HYPERLINK("https://www.genecards.org/Search/Keyword?queryString=%5Baliases%5D(%20TTN%20)&amp;keywords=TTN", "TTN")</f>
        <v>TTN</v>
      </c>
      <c r="N31" s="2" t="s">
        <v>347</v>
      </c>
      <c r="O31" s="2" t="s">
        <v>50</v>
      </c>
      <c r="P31" s="2" t="s">
        <v>50</v>
      </c>
      <c r="Q31" s="2" t="n">
        <v>0.0278</v>
      </c>
      <c r="R31" s="2" t="n">
        <v>0.0266</v>
      </c>
      <c r="S31" s="2" t="n">
        <v>0.026</v>
      </c>
      <c r="T31" s="2" t="n">
        <v>-1</v>
      </c>
      <c r="U31" s="2" t="n">
        <v>0.0317</v>
      </c>
      <c r="V31" s="2" t="s">
        <v>50</v>
      </c>
      <c r="W31" s="2" t="s">
        <v>50</v>
      </c>
      <c r="X31" s="2" t="s">
        <v>348</v>
      </c>
      <c r="Y31" s="2" t="s">
        <v>82</v>
      </c>
      <c r="Z31" s="2" t="s">
        <v>50</v>
      </c>
      <c r="AA31" s="2" t="s">
        <v>50</v>
      </c>
      <c r="AB31" s="2" t="s">
        <v>339</v>
      </c>
      <c r="AC31" s="2" t="s">
        <v>53</v>
      </c>
      <c r="AD31" s="2" t="s">
        <v>355</v>
      </c>
      <c r="AE31" s="2" t="s">
        <v>356</v>
      </c>
      <c r="AF31" s="2" t="s">
        <v>357</v>
      </c>
      <c r="AG31" s="2" t="s">
        <v>358</v>
      </c>
      <c r="AH31" s="2" t="s">
        <v>359</v>
      </c>
      <c r="AI31" s="2" t="s">
        <v>50</v>
      </c>
      <c r="AJ31" s="2" t="s">
        <v>50</v>
      </c>
      <c r="AK31" s="2" t="s">
        <v>50</v>
      </c>
      <c r="AL31" s="2" t="s">
        <v>50</v>
      </c>
    </row>
    <row r="32" s="2" customFormat="true" ht="13.8" hidden="false" customHeight="false" outlineLevel="0" collapsed="false">
      <c r="A32" s="0"/>
      <c r="B32" s="0" t="str">
        <f aca="false">HYPERLINK("https://genome.ucsc.edu/cgi-bin/hgTracks?db=hg19&amp;position=chr11%3A78152130%2D78152130", "chr11:78152130")</f>
        <v>chr11:78152130</v>
      </c>
      <c r="C32" s="0" t="s">
        <v>73</v>
      </c>
      <c r="D32" s="0" t="n">
        <v>78152130</v>
      </c>
      <c r="E32" s="0" t="n">
        <v>78152130</v>
      </c>
      <c r="F32" s="0" t="s">
        <v>40</v>
      </c>
      <c r="G32" s="0" t="s">
        <v>39</v>
      </c>
      <c r="H32" s="0" t="s">
        <v>360</v>
      </c>
      <c r="I32" s="0" t="s">
        <v>361</v>
      </c>
      <c r="J32" s="0" t="s">
        <v>362</v>
      </c>
      <c r="K32" s="0" t="s">
        <v>50</v>
      </c>
      <c r="L32" s="0" t="str">
        <f aca="false">HYPERLINK("https://www.ncbi.nlm.nih.gov/snp/rs201591441", "rs201591441")</f>
        <v>rs201591441</v>
      </c>
      <c r="M32" s="0" t="str">
        <f aca="false">HYPERLINK("https://www.genecards.org/Search/Keyword?queryString=%5Baliases%5D(%20NARS2%20)&amp;keywords=NARS2", "NARS2")</f>
        <v>NARS2</v>
      </c>
      <c r="N32" s="0" t="s">
        <v>347</v>
      </c>
      <c r="O32" s="0" t="s">
        <v>50</v>
      </c>
      <c r="P32" s="0" t="s">
        <v>50</v>
      </c>
      <c r="Q32" s="0" t="n">
        <v>0.0072</v>
      </c>
      <c r="R32" s="0" t="n">
        <v>0.0048</v>
      </c>
      <c r="S32" s="0" t="n">
        <v>0.005</v>
      </c>
      <c r="T32" s="0" t="n">
        <v>-1</v>
      </c>
      <c r="U32" s="0" t="n">
        <v>0.0054</v>
      </c>
      <c r="V32" s="0" t="s">
        <v>50</v>
      </c>
      <c r="W32" s="0" t="s">
        <v>40</v>
      </c>
      <c r="X32" s="0" t="s">
        <v>348</v>
      </c>
      <c r="Y32" s="0" t="s">
        <v>67</v>
      </c>
      <c r="Z32" s="0" t="s">
        <v>50</v>
      </c>
      <c r="AA32" s="0" t="s">
        <v>50</v>
      </c>
      <c r="AB32" s="0" t="s">
        <v>134</v>
      </c>
      <c r="AC32" s="0" t="s">
        <v>53</v>
      </c>
      <c r="AD32" s="0" t="s">
        <v>54</v>
      </c>
      <c r="AE32" s="0" t="s">
        <v>363</v>
      </c>
      <c r="AF32" s="0" t="s">
        <v>364</v>
      </c>
      <c r="AG32" s="0" t="s">
        <v>50</v>
      </c>
      <c r="AH32" s="0" t="s">
        <v>365</v>
      </c>
      <c r="AI32" s="0" t="s">
        <v>50</v>
      </c>
      <c r="AJ32" s="0" t="s">
        <v>50</v>
      </c>
      <c r="AK32" s="0" t="s">
        <v>50</v>
      </c>
      <c r="AL32" s="0" t="s">
        <v>50</v>
      </c>
    </row>
    <row r="33" s="2" customFormat="true" ht="13.8" hidden="false" customHeight="false" outlineLevel="0" collapsed="false">
      <c r="A33" s="0"/>
      <c r="B33" s="0" t="str">
        <f aca="false">HYPERLINK("https://genome.ucsc.edu/cgi-bin/hgTracks?db=hg19&amp;position=chr2%3A109345582%2D109345582", "chr2:109345582")</f>
        <v>chr2:109345582</v>
      </c>
      <c r="C33" s="0" t="s">
        <v>258</v>
      </c>
      <c r="D33" s="0" t="n">
        <v>109345582</v>
      </c>
      <c r="E33" s="0" t="n">
        <v>109345582</v>
      </c>
      <c r="F33" s="0" t="s">
        <v>40</v>
      </c>
      <c r="G33" s="0" t="s">
        <v>75</v>
      </c>
      <c r="H33" s="0" t="s">
        <v>366</v>
      </c>
      <c r="I33" s="0" t="s">
        <v>367</v>
      </c>
      <c r="J33" s="0" t="s">
        <v>368</v>
      </c>
      <c r="K33" s="0" t="s">
        <v>50</v>
      </c>
      <c r="L33" s="0" t="str">
        <f aca="false">HYPERLINK("https://www.ncbi.nlm.nih.gov/snp/rs201485597", "rs201485597")</f>
        <v>rs201485597</v>
      </c>
      <c r="M33" s="0" t="str">
        <f aca="false">HYPERLINK("https://www.genecards.org/Search/Keyword?queryString=%5Baliases%5D(%20RANBP2%20)&amp;keywords=RANBP2", "RANBP2")</f>
        <v>RANBP2</v>
      </c>
      <c r="N33" s="0" t="s">
        <v>80</v>
      </c>
      <c r="O33" s="0" t="s">
        <v>50</v>
      </c>
      <c r="P33" s="0" t="s">
        <v>50</v>
      </c>
      <c r="Q33" s="0" t="n">
        <v>0.0083</v>
      </c>
      <c r="R33" s="0" t="n">
        <v>0.0086</v>
      </c>
      <c r="S33" s="0" t="n">
        <v>0.0108</v>
      </c>
      <c r="T33" s="0" t="n">
        <v>-1</v>
      </c>
      <c r="U33" s="0" t="n">
        <v>0.0027</v>
      </c>
      <c r="V33" s="0" t="s">
        <v>50</v>
      </c>
      <c r="W33" s="0" t="s">
        <v>49</v>
      </c>
      <c r="X33" s="0" t="s">
        <v>348</v>
      </c>
      <c r="Y33" s="0" t="s">
        <v>67</v>
      </c>
      <c r="Z33" s="0" t="s">
        <v>50</v>
      </c>
      <c r="AA33" s="0" t="s">
        <v>50</v>
      </c>
      <c r="AB33" s="0" t="s">
        <v>134</v>
      </c>
      <c r="AC33" s="0" t="s">
        <v>53</v>
      </c>
      <c r="AD33" s="0" t="s">
        <v>54</v>
      </c>
      <c r="AE33" s="0" t="s">
        <v>369</v>
      </c>
      <c r="AF33" s="0" t="s">
        <v>370</v>
      </c>
      <c r="AG33" s="0" t="s">
        <v>371</v>
      </c>
      <c r="AH33" s="0" t="s">
        <v>372</v>
      </c>
      <c r="AI33" s="0" t="s">
        <v>50</v>
      </c>
      <c r="AJ33" s="0" t="s">
        <v>50</v>
      </c>
      <c r="AK33" s="0" t="s">
        <v>50</v>
      </c>
      <c r="AL33" s="0" t="s">
        <v>277</v>
      </c>
    </row>
    <row r="34" s="2" customFormat="true" ht="13.8" hidden="false" customHeight="false" outlineLevel="0" collapsed="false">
      <c r="A34" s="0"/>
      <c r="B34" s="0" t="str">
        <f aca="false">HYPERLINK("https://genome.ucsc.edu/cgi-bin/hgTracks?db=hg19&amp;position=chr3%3A180334077%2D180334077", "chr3:180334077")</f>
        <v>chr3:180334077</v>
      </c>
      <c r="C34" s="0" t="s">
        <v>115</v>
      </c>
      <c r="D34" s="0" t="n">
        <v>180334077</v>
      </c>
      <c r="E34" s="0" t="n">
        <v>180334077</v>
      </c>
      <c r="F34" s="0" t="s">
        <v>308</v>
      </c>
      <c r="G34" s="0" t="s">
        <v>75</v>
      </c>
      <c r="H34" s="0" t="s">
        <v>373</v>
      </c>
      <c r="I34" s="0" t="s">
        <v>374</v>
      </c>
      <c r="J34" s="0" t="s">
        <v>375</v>
      </c>
      <c r="K34" s="0" t="s">
        <v>50</v>
      </c>
      <c r="L34" s="0" t="str">
        <f aca="false">HYPERLINK("https://www.ncbi.nlm.nih.gov/snp/rs200353947", "rs200353947")</f>
        <v>rs200353947</v>
      </c>
      <c r="M34" s="0" t="str">
        <f aca="false">HYPERLINK("https://www.genecards.org/Search/Keyword?queryString=%5Baliases%5D(%20CCDC39%20)&amp;keywords=CCDC39", "CCDC39")</f>
        <v>CCDC39</v>
      </c>
      <c r="N34" s="0" t="s">
        <v>92</v>
      </c>
      <c r="O34" s="0" t="s">
        <v>323</v>
      </c>
      <c r="P34" s="0" t="s">
        <v>376</v>
      </c>
      <c r="Q34" s="0" t="n">
        <v>0.0209</v>
      </c>
      <c r="R34" s="0" t="n">
        <v>0.0138</v>
      </c>
      <c r="S34" s="0" t="n">
        <v>0.0129</v>
      </c>
      <c r="T34" s="0" t="n">
        <v>-1</v>
      </c>
      <c r="U34" s="0" t="n">
        <v>0.0147</v>
      </c>
      <c r="V34" s="0" t="s">
        <v>50</v>
      </c>
      <c r="W34" s="0" t="s">
        <v>50</v>
      </c>
      <c r="X34" s="0" t="s">
        <v>50</v>
      </c>
      <c r="Y34" s="0" t="s">
        <v>50</v>
      </c>
      <c r="Z34" s="0" t="s">
        <v>50</v>
      </c>
      <c r="AA34" s="0" t="s">
        <v>50</v>
      </c>
      <c r="AB34" s="0" t="s">
        <v>134</v>
      </c>
      <c r="AC34" s="0" t="s">
        <v>53</v>
      </c>
      <c r="AD34" s="0" t="s">
        <v>54</v>
      </c>
      <c r="AE34" s="0" t="s">
        <v>377</v>
      </c>
      <c r="AF34" s="0" t="s">
        <v>378</v>
      </c>
      <c r="AG34" s="0" t="s">
        <v>379</v>
      </c>
      <c r="AH34" s="0" t="s">
        <v>50</v>
      </c>
      <c r="AI34" s="0" t="s">
        <v>50</v>
      </c>
      <c r="AJ34" s="0" t="s">
        <v>50</v>
      </c>
      <c r="AK34" s="0" t="s">
        <v>50</v>
      </c>
      <c r="AL34" s="0" t="s">
        <v>50</v>
      </c>
    </row>
    <row r="35" s="2" customFormat="true" ht="13.8" hidden="false" customHeight="false" outlineLevel="0" collapsed="false">
      <c r="A35" s="0"/>
      <c r="B35" s="0" t="str">
        <f aca="false">HYPERLINK("https://genome.ucsc.edu/cgi-bin/hgTracks?db=hg19&amp;position=chr19%3A38875072%2D38875072", "chr19:38875072")</f>
        <v>chr19:38875072</v>
      </c>
      <c r="C35" s="0" t="s">
        <v>102</v>
      </c>
      <c r="D35" s="0" t="n">
        <v>38875072</v>
      </c>
      <c r="E35" s="0" t="n">
        <v>38875072</v>
      </c>
      <c r="F35" s="0" t="s">
        <v>74</v>
      </c>
      <c r="G35" s="0" t="s">
        <v>75</v>
      </c>
      <c r="H35" s="0" t="s">
        <v>380</v>
      </c>
      <c r="I35" s="0" t="s">
        <v>381</v>
      </c>
      <c r="J35" s="0" t="s">
        <v>382</v>
      </c>
      <c r="K35" s="0" t="s">
        <v>50</v>
      </c>
      <c r="L35" s="0" t="str">
        <f aca="false">HYPERLINK("https://www.ncbi.nlm.nih.gov/snp/rs62123481", "rs62123481")</f>
        <v>rs62123481</v>
      </c>
      <c r="M35" s="0" t="str">
        <f aca="false">HYPERLINK("https://www.genecards.org/Search/Keyword?queryString=%5Baliases%5D(%20GGN%20)&amp;keywords=GGN", "GGN")</f>
        <v>GGN</v>
      </c>
      <c r="N35" s="0" t="s">
        <v>92</v>
      </c>
      <c r="O35" s="0" t="s">
        <v>93</v>
      </c>
      <c r="P35" s="0" t="s">
        <v>383</v>
      </c>
      <c r="Q35" s="0" t="n">
        <v>0.0149</v>
      </c>
      <c r="R35" s="0" t="n">
        <v>0.0106</v>
      </c>
      <c r="S35" s="0" t="n">
        <v>0.012</v>
      </c>
      <c r="T35" s="0" t="n">
        <v>-1</v>
      </c>
      <c r="U35" s="0" t="n">
        <v>0.0105</v>
      </c>
      <c r="V35" s="0" t="s">
        <v>384</v>
      </c>
      <c r="W35" s="0" t="s">
        <v>50</v>
      </c>
      <c r="X35" s="0" t="s">
        <v>50</v>
      </c>
      <c r="Y35" s="0" t="s">
        <v>50</v>
      </c>
      <c r="Z35" s="0" t="s">
        <v>96</v>
      </c>
      <c r="AA35" s="0" t="s">
        <v>110</v>
      </c>
      <c r="AB35" s="0" t="s">
        <v>69</v>
      </c>
      <c r="AC35" s="0" t="s">
        <v>53</v>
      </c>
      <c r="AD35" s="0" t="s">
        <v>54</v>
      </c>
      <c r="AE35" s="0" t="s">
        <v>385</v>
      </c>
      <c r="AF35" s="0" t="s">
        <v>386</v>
      </c>
      <c r="AG35" s="0" t="s">
        <v>387</v>
      </c>
      <c r="AH35" s="0" t="s">
        <v>50</v>
      </c>
      <c r="AI35" s="0" t="s">
        <v>50</v>
      </c>
      <c r="AJ35" s="0" t="s">
        <v>50</v>
      </c>
      <c r="AK35" s="0" t="s">
        <v>50</v>
      </c>
      <c r="AL35" s="0" t="s">
        <v>50</v>
      </c>
    </row>
    <row r="36" s="2" customFormat="true" ht="13.8" hidden="false" customHeight="false" outlineLevel="0" collapsed="false">
      <c r="A36" s="0"/>
      <c r="B36" s="0" t="str">
        <f aca="false">HYPERLINK("https://genome.ucsc.edu/cgi-bin/hgTracks?db=hg19&amp;position=chr22%3A37266453%2D37266453", "chr22:37266453")</f>
        <v>chr22:37266453</v>
      </c>
      <c r="C36" s="0" t="s">
        <v>297</v>
      </c>
      <c r="D36" s="0" t="n">
        <v>37266453</v>
      </c>
      <c r="E36" s="0" t="n">
        <v>37266453</v>
      </c>
      <c r="F36" s="0" t="s">
        <v>75</v>
      </c>
      <c r="G36" s="0" t="s">
        <v>74</v>
      </c>
      <c r="H36" s="0" t="s">
        <v>388</v>
      </c>
      <c r="I36" s="0" t="s">
        <v>201</v>
      </c>
      <c r="J36" s="0" t="s">
        <v>389</v>
      </c>
      <c r="K36" s="0" t="s">
        <v>50</v>
      </c>
      <c r="L36" s="0" t="str">
        <f aca="false">HYPERLINK("https://www.ncbi.nlm.nih.gov/snp/rs79312013", "rs79312013")</f>
        <v>rs79312013</v>
      </c>
      <c r="M36" s="0" t="str">
        <f aca="false">HYPERLINK("https://www.genecards.org/Search/Keyword?queryString=%5Baliases%5D(%20NCF4%20)%20OR%20%5Baliases%5D(%20NCF4-AS1%20)&amp;keywords=NCF4,NCF4-AS1", "NCF4;NCF4-AS1")</f>
        <v>NCF4;NCF4-AS1</v>
      </c>
      <c r="N36" s="0" t="s">
        <v>390</v>
      </c>
      <c r="O36" s="0" t="s">
        <v>50</v>
      </c>
      <c r="P36" s="0" t="s">
        <v>50</v>
      </c>
      <c r="Q36" s="0" t="n">
        <v>0.0135</v>
      </c>
      <c r="R36" s="0" t="n">
        <v>0.0064</v>
      </c>
      <c r="S36" s="0" t="n">
        <v>0.0059</v>
      </c>
      <c r="T36" s="0" t="n">
        <v>-1</v>
      </c>
      <c r="U36" s="0" t="n">
        <v>0.0098</v>
      </c>
      <c r="V36" s="0" t="s">
        <v>50</v>
      </c>
      <c r="W36" s="0" t="s">
        <v>40</v>
      </c>
      <c r="X36" s="0" t="s">
        <v>50</v>
      </c>
      <c r="Y36" s="0" t="s">
        <v>50</v>
      </c>
      <c r="Z36" s="0" t="s">
        <v>50</v>
      </c>
      <c r="AA36" s="0" t="s">
        <v>50</v>
      </c>
      <c r="AB36" s="0" t="s">
        <v>69</v>
      </c>
      <c r="AC36" s="0" t="s">
        <v>53</v>
      </c>
      <c r="AD36" s="0" t="s">
        <v>157</v>
      </c>
      <c r="AE36" s="0" t="s">
        <v>391</v>
      </c>
      <c r="AF36" s="0" t="s">
        <v>392</v>
      </c>
      <c r="AG36" s="0" t="s">
        <v>393</v>
      </c>
      <c r="AH36" s="0" t="s">
        <v>394</v>
      </c>
      <c r="AI36" s="0" t="s">
        <v>50</v>
      </c>
      <c r="AJ36" s="0" t="s">
        <v>50</v>
      </c>
      <c r="AK36" s="0" t="s">
        <v>50</v>
      </c>
      <c r="AL36" s="0" t="s">
        <v>50</v>
      </c>
    </row>
    <row r="37" s="4" customFormat="true" ht="13.8" hidden="false" customHeight="false" outlineLevel="0" collapsed="false">
      <c r="B37" s="4" t="str">
        <f aca="false">HYPERLINK("https://genome.ucsc.edu/cgi-bin/hgTracks?db=hg19&amp;position=chr1%3A84874162%2D84874162", "chr1:84874162")</f>
        <v>chr1:84874162</v>
      </c>
      <c r="C37" s="4" t="s">
        <v>126</v>
      </c>
      <c r="D37" s="4" t="n">
        <v>84874162</v>
      </c>
      <c r="E37" s="4" t="n">
        <v>84874162</v>
      </c>
      <c r="F37" s="4" t="s">
        <v>75</v>
      </c>
      <c r="G37" s="4" t="s">
        <v>40</v>
      </c>
      <c r="H37" s="4" t="s">
        <v>395</v>
      </c>
      <c r="I37" s="4" t="s">
        <v>396</v>
      </c>
      <c r="J37" s="4" t="s">
        <v>397</v>
      </c>
      <c r="K37" s="4" t="s">
        <v>50</v>
      </c>
      <c r="L37" s="4" t="str">
        <f aca="false">HYPERLINK("https://www.ncbi.nlm.nih.gov/snp/rs200167839", "rs200167839")</f>
        <v>rs200167839</v>
      </c>
      <c r="M37" s="4" t="str">
        <f aca="false">HYPERLINK("https://www.genecards.org/Search/Keyword?queryString=%5Baliases%5D(%20DNASE2B%20)&amp;keywords=DNASE2B", "DNASE2B")</f>
        <v>DNASE2B</v>
      </c>
      <c r="N37" s="4" t="s">
        <v>92</v>
      </c>
      <c r="O37" s="4" t="s">
        <v>93</v>
      </c>
      <c r="P37" s="4" t="s">
        <v>398</v>
      </c>
      <c r="Q37" s="4" t="n">
        <v>0.0081</v>
      </c>
      <c r="R37" s="4" t="n">
        <v>0.0047</v>
      </c>
      <c r="S37" s="4" t="n">
        <v>0.0036</v>
      </c>
      <c r="T37" s="4" t="n">
        <v>-1</v>
      </c>
      <c r="U37" s="4" t="n">
        <v>0.0074</v>
      </c>
      <c r="V37" s="4" t="s">
        <v>399</v>
      </c>
      <c r="W37" s="4" t="s">
        <v>50</v>
      </c>
      <c r="X37" s="4" t="s">
        <v>50</v>
      </c>
      <c r="Y37" s="4" t="s">
        <v>50</v>
      </c>
      <c r="Z37" s="4" t="s">
        <v>109</v>
      </c>
      <c r="AA37" s="4" t="s">
        <v>110</v>
      </c>
      <c r="AB37" s="4" t="s">
        <v>50</v>
      </c>
      <c r="AC37" s="4" t="s">
        <v>53</v>
      </c>
      <c r="AD37" s="4" t="s">
        <v>54</v>
      </c>
      <c r="AE37" s="4" t="s">
        <v>400</v>
      </c>
      <c r="AF37" s="4" t="s">
        <v>401</v>
      </c>
      <c r="AG37" s="4" t="s">
        <v>402</v>
      </c>
      <c r="AH37" s="4" t="s">
        <v>50</v>
      </c>
      <c r="AI37" s="4" t="s">
        <v>50</v>
      </c>
      <c r="AJ37" s="4" t="s">
        <v>50</v>
      </c>
      <c r="AK37" s="4" t="s">
        <v>50</v>
      </c>
      <c r="AL37" s="4" t="s">
        <v>50</v>
      </c>
    </row>
    <row r="38" customFormat="false" ht="13.8" hidden="false" customHeight="false" outlineLevel="0" collapsed="false">
      <c r="B38" s="0" t="str">
        <f aca="false">HYPERLINK("https://genome.ucsc.edu/cgi-bin/hgTracks?db=hg19&amp;position=chr1%3A156256264%2D156256264", "chr1:156256264")</f>
        <v>chr1:156256264</v>
      </c>
      <c r="C38" s="0" t="s">
        <v>126</v>
      </c>
      <c r="D38" s="0" t="n">
        <v>156256264</v>
      </c>
      <c r="E38" s="0" t="n">
        <v>156256264</v>
      </c>
      <c r="F38" s="0" t="s">
        <v>74</v>
      </c>
      <c r="G38" s="0" t="s">
        <v>75</v>
      </c>
      <c r="H38" s="0" t="s">
        <v>403</v>
      </c>
      <c r="I38" s="0" t="s">
        <v>337</v>
      </c>
      <c r="J38" s="0" t="s">
        <v>404</v>
      </c>
      <c r="K38" s="0" t="s">
        <v>50</v>
      </c>
      <c r="L38" s="0" t="str">
        <f aca="false">HYPERLINK("https://www.ncbi.nlm.nih.gov/snp/rs374556620", "rs374556620")</f>
        <v>rs374556620</v>
      </c>
      <c r="M38" s="0" t="str">
        <f aca="false">HYPERLINK("https://www.genecards.org/Search/Keyword?queryString=%5Baliases%5D(%20TMEM79%20)&amp;keywords=TMEM79", "TMEM79")</f>
        <v>TMEM79</v>
      </c>
      <c r="N38" s="0" t="s">
        <v>92</v>
      </c>
      <c r="O38" s="0" t="s">
        <v>46</v>
      </c>
      <c r="P38" s="0" t="s">
        <v>405</v>
      </c>
      <c r="Q38" s="0" t="n">
        <v>0.001</v>
      </c>
      <c r="R38" s="0" t="n">
        <v>-1</v>
      </c>
      <c r="S38" s="0" t="n">
        <v>-1</v>
      </c>
      <c r="T38" s="0" t="n">
        <v>-1</v>
      </c>
      <c r="U38" s="0" t="n">
        <v>-1</v>
      </c>
      <c r="V38" s="0" t="s">
        <v>142</v>
      </c>
      <c r="W38" s="0" t="s">
        <v>49</v>
      </c>
      <c r="X38" s="0" t="s">
        <v>50</v>
      </c>
      <c r="Y38" s="0" t="s">
        <v>50</v>
      </c>
      <c r="Z38" s="0" t="s">
        <v>175</v>
      </c>
      <c r="AA38" s="0" t="s">
        <v>110</v>
      </c>
      <c r="AB38" s="0" t="s">
        <v>50</v>
      </c>
      <c r="AC38" s="0" t="s">
        <v>53</v>
      </c>
      <c r="AD38" s="0" t="s">
        <v>54</v>
      </c>
      <c r="AE38" s="0" t="s">
        <v>406</v>
      </c>
      <c r="AF38" s="0" t="s">
        <v>407</v>
      </c>
      <c r="AG38" s="0" t="s">
        <v>408</v>
      </c>
      <c r="AH38" s="0" t="s">
        <v>50</v>
      </c>
      <c r="AI38" s="0" t="s">
        <v>50</v>
      </c>
      <c r="AJ38" s="0" t="s">
        <v>50</v>
      </c>
      <c r="AK38" s="0" t="s">
        <v>50</v>
      </c>
      <c r="AL38" s="0" t="s">
        <v>50</v>
      </c>
    </row>
    <row r="39" customFormat="false" ht="13.8" hidden="false" customHeight="false" outlineLevel="0" collapsed="false">
      <c r="B39" s="0" t="str">
        <f aca="false">HYPERLINK("https://genome.ucsc.edu/cgi-bin/hgTracks?db=hg19&amp;position=chr10%3A126683166%2D126683166", "chr10:126683166")</f>
        <v>chr10:126683166</v>
      </c>
      <c r="C39" s="0" t="s">
        <v>409</v>
      </c>
      <c r="D39" s="0" t="n">
        <v>126683166</v>
      </c>
      <c r="E39" s="0" t="n">
        <v>126683166</v>
      </c>
      <c r="F39" s="0" t="s">
        <v>39</v>
      </c>
      <c r="G39" s="0" t="s">
        <v>75</v>
      </c>
      <c r="H39" s="0" t="s">
        <v>410</v>
      </c>
      <c r="I39" s="0" t="s">
        <v>411</v>
      </c>
      <c r="J39" s="0" t="s">
        <v>412</v>
      </c>
      <c r="K39" s="0" t="s">
        <v>50</v>
      </c>
      <c r="L39" s="0" t="str">
        <f aca="false">HYPERLINK("https://www.ncbi.nlm.nih.gov/snp/rs968566248", "rs968566248")</f>
        <v>rs968566248</v>
      </c>
      <c r="M39" s="0" t="str">
        <f aca="false">HYPERLINK("https://www.genecards.org/Search/Keyword?queryString=%5Baliases%5D(%20CTBP2%20)&amp;keywords=CTBP2", "CTBP2")</f>
        <v>CTBP2</v>
      </c>
      <c r="N39" s="0" t="s">
        <v>92</v>
      </c>
      <c r="O39" s="0" t="s">
        <v>93</v>
      </c>
      <c r="P39" s="0" t="s">
        <v>413</v>
      </c>
      <c r="Q39" s="0" t="n">
        <v>-1</v>
      </c>
      <c r="R39" s="0" t="n">
        <v>-1</v>
      </c>
      <c r="S39" s="0" t="n">
        <v>-1</v>
      </c>
      <c r="T39" s="0" t="n">
        <v>-1</v>
      </c>
      <c r="U39" s="0" t="n">
        <v>-1</v>
      </c>
      <c r="V39" s="0" t="s">
        <v>95</v>
      </c>
      <c r="W39" s="0" t="s">
        <v>50</v>
      </c>
      <c r="X39" s="0" t="s">
        <v>50</v>
      </c>
      <c r="Y39" s="0" t="s">
        <v>50</v>
      </c>
      <c r="Z39" s="0" t="s">
        <v>175</v>
      </c>
      <c r="AA39" s="0" t="s">
        <v>110</v>
      </c>
      <c r="AB39" s="0" t="s">
        <v>50</v>
      </c>
      <c r="AC39" s="0" t="s">
        <v>53</v>
      </c>
      <c r="AD39" s="0" t="s">
        <v>302</v>
      </c>
      <c r="AE39" s="0" t="s">
        <v>414</v>
      </c>
      <c r="AF39" s="0" t="s">
        <v>415</v>
      </c>
      <c r="AG39" s="0" t="s">
        <v>416</v>
      </c>
      <c r="AH39" s="0" t="s">
        <v>50</v>
      </c>
      <c r="AI39" s="0" t="s">
        <v>50</v>
      </c>
      <c r="AJ39" s="0" t="s">
        <v>50</v>
      </c>
      <c r="AK39" s="0" t="s">
        <v>50</v>
      </c>
      <c r="AL39" s="0" t="s">
        <v>50</v>
      </c>
    </row>
    <row r="40" customFormat="false" ht="13.8" hidden="false" customHeight="false" outlineLevel="0" collapsed="false">
      <c r="B40" s="0" t="str">
        <f aca="false">HYPERLINK("https://genome.ucsc.edu/cgi-bin/hgTracks?db=hg19&amp;position=chr10%3A126727602%2D126727602", "chr10:126727602")</f>
        <v>chr10:126727602</v>
      </c>
      <c r="C40" s="0" t="s">
        <v>409</v>
      </c>
      <c r="D40" s="0" t="n">
        <v>126727602</v>
      </c>
      <c r="E40" s="0" t="n">
        <v>126727602</v>
      </c>
      <c r="F40" s="0" t="s">
        <v>40</v>
      </c>
      <c r="G40" s="0" t="s">
        <v>75</v>
      </c>
      <c r="H40" s="0" t="s">
        <v>417</v>
      </c>
      <c r="I40" s="0" t="s">
        <v>418</v>
      </c>
      <c r="J40" s="0" t="s">
        <v>419</v>
      </c>
      <c r="K40" s="0" t="s">
        <v>50</v>
      </c>
      <c r="L40" s="0" t="str">
        <f aca="false">HYPERLINK("https://www.ncbi.nlm.nih.gov/snp/rs76555439", "rs76555439")</f>
        <v>rs76555439</v>
      </c>
      <c r="M40" s="0" t="str">
        <f aca="false">HYPERLINK("https://www.genecards.org/Search/Keyword?queryString=%5Baliases%5D(%20CTBP2%20)&amp;keywords=CTBP2", "CTBP2")</f>
        <v>CTBP2</v>
      </c>
      <c r="N40" s="0" t="s">
        <v>92</v>
      </c>
      <c r="O40" s="0" t="s">
        <v>93</v>
      </c>
      <c r="P40" s="0" t="s">
        <v>420</v>
      </c>
      <c r="Q40" s="0" t="n">
        <v>2.59E-005</v>
      </c>
      <c r="R40" s="0" t="n">
        <v>-1</v>
      </c>
      <c r="S40" s="0" t="n">
        <v>-1</v>
      </c>
      <c r="T40" s="0" t="n">
        <v>-1</v>
      </c>
      <c r="U40" s="0" t="n">
        <v>-1</v>
      </c>
      <c r="V40" s="0" t="s">
        <v>66</v>
      </c>
      <c r="W40" s="0" t="s">
        <v>50</v>
      </c>
      <c r="X40" s="0" t="s">
        <v>50</v>
      </c>
      <c r="Y40" s="0" t="s">
        <v>50</v>
      </c>
      <c r="Z40" s="0" t="s">
        <v>68</v>
      </c>
      <c r="AA40" s="0" t="s">
        <v>110</v>
      </c>
      <c r="AB40" s="0" t="s">
        <v>50</v>
      </c>
      <c r="AC40" s="0" t="s">
        <v>53</v>
      </c>
      <c r="AD40" s="0" t="s">
        <v>302</v>
      </c>
      <c r="AE40" s="0" t="s">
        <v>414</v>
      </c>
      <c r="AF40" s="0" t="s">
        <v>415</v>
      </c>
      <c r="AG40" s="0" t="s">
        <v>416</v>
      </c>
      <c r="AH40" s="0" t="s">
        <v>50</v>
      </c>
      <c r="AI40" s="0" t="s">
        <v>50</v>
      </c>
      <c r="AJ40" s="0" t="s">
        <v>50</v>
      </c>
      <c r="AK40" s="0" t="s">
        <v>50</v>
      </c>
      <c r="AL40" s="0" t="s">
        <v>50</v>
      </c>
    </row>
    <row r="41" customFormat="false" ht="13.8" hidden="false" customHeight="false" outlineLevel="0" collapsed="false">
      <c r="B41" s="0" t="str">
        <f aca="false">HYPERLINK("https://genome.ucsc.edu/cgi-bin/hgTracks?db=hg19&amp;position=chr11%3A380018%2D380018", "chr11:380018")</f>
        <v>chr11:380018</v>
      </c>
      <c r="C41" s="0" t="s">
        <v>73</v>
      </c>
      <c r="D41" s="0" t="n">
        <v>380018</v>
      </c>
      <c r="E41" s="0" t="n">
        <v>380018</v>
      </c>
      <c r="F41" s="0" t="s">
        <v>39</v>
      </c>
      <c r="G41" s="0" t="s">
        <v>40</v>
      </c>
      <c r="H41" s="0" t="s">
        <v>421</v>
      </c>
      <c r="I41" s="0" t="s">
        <v>77</v>
      </c>
      <c r="J41" s="0" t="s">
        <v>422</v>
      </c>
      <c r="K41" s="0" t="s">
        <v>50</v>
      </c>
      <c r="L41" s="0" t="str">
        <f aca="false">HYPERLINK("https://www.ncbi.nlm.nih.gov/snp/rs144178684", "rs144178684")</f>
        <v>rs144178684</v>
      </c>
      <c r="M41" s="0" t="str">
        <f aca="false">HYPERLINK("https://www.genecards.org/Search/Keyword?queryString=%5Baliases%5D(%20B4GALNT4%20)&amp;keywords=B4GALNT4", "B4GALNT4")</f>
        <v>B4GALNT4</v>
      </c>
      <c r="N41" s="0" t="s">
        <v>92</v>
      </c>
      <c r="O41" s="0" t="s">
        <v>262</v>
      </c>
      <c r="P41" s="0" t="s">
        <v>423</v>
      </c>
      <c r="Q41" s="0" t="n">
        <v>0.0007</v>
      </c>
      <c r="R41" s="0" t="n">
        <v>0.0007</v>
      </c>
      <c r="S41" s="0" t="n">
        <v>0.0005</v>
      </c>
      <c r="T41" s="0" t="n">
        <v>-1</v>
      </c>
      <c r="U41" s="0" t="n">
        <v>0.0002</v>
      </c>
      <c r="V41" s="0" t="s">
        <v>424</v>
      </c>
      <c r="W41" s="0" t="s">
        <v>40</v>
      </c>
      <c r="X41" s="0" t="s">
        <v>50</v>
      </c>
      <c r="Y41" s="0" t="s">
        <v>50</v>
      </c>
      <c r="Z41" s="0" t="s">
        <v>109</v>
      </c>
      <c r="AA41" s="0" t="s">
        <v>110</v>
      </c>
      <c r="AB41" s="0" t="s">
        <v>50</v>
      </c>
      <c r="AC41" s="0" t="s">
        <v>53</v>
      </c>
      <c r="AD41" s="0" t="s">
        <v>54</v>
      </c>
      <c r="AE41" s="0" t="s">
        <v>425</v>
      </c>
      <c r="AF41" s="0" t="s">
        <v>426</v>
      </c>
      <c r="AG41" s="0" t="s">
        <v>427</v>
      </c>
      <c r="AH41" s="0" t="s">
        <v>50</v>
      </c>
      <c r="AI41" s="0" t="s">
        <v>50</v>
      </c>
      <c r="AJ41" s="0" t="s">
        <v>50</v>
      </c>
      <c r="AK41" s="0" t="s">
        <v>50</v>
      </c>
      <c r="AL41" s="0" t="s">
        <v>50</v>
      </c>
    </row>
    <row r="42" customFormat="false" ht="13.8" hidden="false" customHeight="false" outlineLevel="0" collapsed="false">
      <c r="B42" s="0" t="str">
        <f aca="false">HYPERLINK("https://genome.ucsc.edu/cgi-bin/hgTracks?db=hg19&amp;position=chr11%3A394336%2D394336", "chr11:394336")</f>
        <v>chr11:394336</v>
      </c>
      <c r="C42" s="0" t="s">
        <v>73</v>
      </c>
      <c r="D42" s="0" t="n">
        <v>394336</v>
      </c>
      <c r="E42" s="0" t="n">
        <v>394336</v>
      </c>
      <c r="F42" s="0" t="s">
        <v>39</v>
      </c>
      <c r="G42" s="0" t="s">
        <v>74</v>
      </c>
      <c r="H42" s="0" t="s">
        <v>428</v>
      </c>
      <c r="I42" s="0" t="s">
        <v>374</v>
      </c>
      <c r="J42" s="0" t="s">
        <v>429</v>
      </c>
      <c r="K42" s="0" t="s">
        <v>50</v>
      </c>
      <c r="L42" s="0" t="s">
        <v>50</v>
      </c>
      <c r="M42" s="0" t="str">
        <f aca="false">HYPERLINK("https://www.genecards.org/Search/Keyword?queryString=%5Baliases%5D(%20PKP3%20)&amp;keywords=PKP3", "PKP3")</f>
        <v>PKP3</v>
      </c>
      <c r="N42" s="0" t="s">
        <v>45</v>
      </c>
      <c r="O42" s="0" t="s">
        <v>46</v>
      </c>
      <c r="P42" s="0" t="s">
        <v>430</v>
      </c>
      <c r="Q42" s="0" t="n">
        <v>7.192E-005</v>
      </c>
      <c r="R42" s="0" t="n">
        <v>9.032E-005</v>
      </c>
      <c r="S42" s="0" t="n">
        <v>7.351E-005</v>
      </c>
      <c r="T42" s="0" t="n">
        <v>-1</v>
      </c>
      <c r="U42" s="0" t="n">
        <v>0.0002</v>
      </c>
      <c r="V42" s="0" t="s">
        <v>264</v>
      </c>
      <c r="W42" s="0" t="s">
        <v>50</v>
      </c>
      <c r="X42" s="0" t="s">
        <v>50</v>
      </c>
      <c r="Y42" s="0" t="s">
        <v>50</v>
      </c>
      <c r="Z42" s="0" t="s">
        <v>51</v>
      </c>
      <c r="AA42" s="0" t="s">
        <v>110</v>
      </c>
      <c r="AB42" s="0" t="s">
        <v>50</v>
      </c>
      <c r="AC42" s="0" t="s">
        <v>53</v>
      </c>
      <c r="AD42" s="0" t="s">
        <v>54</v>
      </c>
      <c r="AE42" s="0" t="s">
        <v>431</v>
      </c>
      <c r="AF42" s="0" t="s">
        <v>432</v>
      </c>
      <c r="AG42" s="0" t="s">
        <v>433</v>
      </c>
      <c r="AH42" s="0" t="s">
        <v>50</v>
      </c>
      <c r="AI42" s="0" t="s">
        <v>50</v>
      </c>
      <c r="AJ42" s="0" t="s">
        <v>50</v>
      </c>
      <c r="AK42" s="0" t="s">
        <v>50</v>
      </c>
      <c r="AL42" s="0" t="s">
        <v>50</v>
      </c>
    </row>
    <row r="43" customFormat="false" ht="13.8" hidden="false" customHeight="false" outlineLevel="0" collapsed="false">
      <c r="B43" s="0" t="str">
        <f aca="false">HYPERLINK("https://genome.ucsc.edu/cgi-bin/hgTracks?db=hg19&amp;position=chr11%3A102585288%2D102585288", "chr11:102585288")</f>
        <v>chr11:102585288</v>
      </c>
      <c r="C43" s="0" t="s">
        <v>73</v>
      </c>
      <c r="D43" s="0" t="n">
        <v>102585288</v>
      </c>
      <c r="E43" s="0" t="n">
        <v>102585288</v>
      </c>
      <c r="F43" s="0" t="s">
        <v>40</v>
      </c>
      <c r="G43" s="0" t="s">
        <v>74</v>
      </c>
      <c r="H43" s="0" t="s">
        <v>434</v>
      </c>
      <c r="I43" s="0" t="s">
        <v>435</v>
      </c>
      <c r="J43" s="0" t="s">
        <v>436</v>
      </c>
      <c r="K43" s="0" t="s">
        <v>50</v>
      </c>
      <c r="L43" s="0" t="str">
        <f aca="false">HYPERLINK("https://www.ncbi.nlm.nih.gov/snp/rs138686754", "rs138686754")</f>
        <v>rs138686754</v>
      </c>
      <c r="M43" s="0" t="str">
        <f aca="false">HYPERLINK("https://www.genecards.org/Search/Keyword?queryString=%5Baliases%5D(%20MMP8%20)&amp;keywords=MMP8", "MMP8")</f>
        <v>MMP8</v>
      </c>
      <c r="N43" s="0" t="s">
        <v>92</v>
      </c>
      <c r="O43" s="0" t="s">
        <v>437</v>
      </c>
      <c r="P43" s="0" t="s">
        <v>438</v>
      </c>
      <c r="Q43" s="0" t="n">
        <v>0.00448438</v>
      </c>
      <c r="R43" s="0" t="n">
        <v>0.0011</v>
      </c>
      <c r="S43" s="0" t="n">
        <v>0.0011</v>
      </c>
      <c r="T43" s="0" t="n">
        <v>-1</v>
      </c>
      <c r="U43" s="0" t="n">
        <v>0.0004</v>
      </c>
      <c r="V43" s="0" t="s">
        <v>50</v>
      </c>
      <c r="W43" s="0" t="s">
        <v>49</v>
      </c>
      <c r="X43" s="0" t="s">
        <v>50</v>
      </c>
      <c r="Y43" s="0" t="s">
        <v>50</v>
      </c>
      <c r="Z43" s="0" t="s">
        <v>50</v>
      </c>
      <c r="AA43" s="0" t="s">
        <v>110</v>
      </c>
      <c r="AB43" s="0" t="s">
        <v>50</v>
      </c>
      <c r="AC43" s="0" t="s">
        <v>53</v>
      </c>
      <c r="AD43" s="0" t="s">
        <v>54</v>
      </c>
      <c r="AE43" s="0" t="s">
        <v>439</v>
      </c>
      <c r="AF43" s="0" t="s">
        <v>440</v>
      </c>
      <c r="AG43" s="0" t="s">
        <v>441</v>
      </c>
      <c r="AH43" s="0" t="s">
        <v>50</v>
      </c>
      <c r="AI43" s="0" t="s">
        <v>50</v>
      </c>
      <c r="AJ43" s="0" t="s">
        <v>50</v>
      </c>
      <c r="AK43" s="0" t="s">
        <v>50</v>
      </c>
      <c r="AL43" s="0" t="s">
        <v>50</v>
      </c>
    </row>
    <row r="44" customFormat="false" ht="13.8" hidden="false" customHeight="false" outlineLevel="0" collapsed="false">
      <c r="B44" s="0" t="str">
        <f aca="false">HYPERLINK("https://genome.ucsc.edu/cgi-bin/hgTracks?db=hg19&amp;position=chr12%3A56625343%2D56625343", "chr12:56625343")</f>
        <v>chr12:56625343</v>
      </c>
      <c r="C44" s="0" t="s">
        <v>335</v>
      </c>
      <c r="D44" s="0" t="n">
        <v>56625343</v>
      </c>
      <c r="E44" s="0" t="n">
        <v>56625343</v>
      </c>
      <c r="F44" s="0" t="s">
        <v>39</v>
      </c>
      <c r="G44" s="0" t="s">
        <v>40</v>
      </c>
      <c r="H44" s="0" t="s">
        <v>442</v>
      </c>
      <c r="I44" s="0" t="s">
        <v>443</v>
      </c>
      <c r="J44" s="0" t="s">
        <v>444</v>
      </c>
      <c r="K44" s="0" t="s">
        <v>50</v>
      </c>
      <c r="L44" s="0" t="str">
        <f aca="false">HYPERLINK("https://www.ncbi.nlm.nih.gov/snp/rs762091028", "rs762091028")</f>
        <v>rs762091028</v>
      </c>
      <c r="M44" s="0" t="str">
        <f aca="false">HYPERLINK("https://www.genecards.org/Search/Keyword?queryString=%5Baliases%5D(%20SLC39A5%20)&amp;keywords=SLC39A5", "SLC39A5")</f>
        <v>SLC39A5</v>
      </c>
      <c r="N44" s="0" t="s">
        <v>92</v>
      </c>
      <c r="O44" s="0" t="s">
        <v>437</v>
      </c>
      <c r="P44" s="0" t="s">
        <v>445</v>
      </c>
      <c r="Q44" s="0" t="n">
        <v>6.489E-005</v>
      </c>
      <c r="R44" s="0" t="n">
        <v>-1</v>
      </c>
      <c r="S44" s="0" t="n">
        <v>7.353E-005</v>
      </c>
      <c r="T44" s="0" t="n">
        <v>-1</v>
      </c>
      <c r="U44" s="0" t="n">
        <v>-1</v>
      </c>
      <c r="V44" s="0" t="s">
        <v>50</v>
      </c>
      <c r="W44" s="0" t="s">
        <v>49</v>
      </c>
      <c r="X44" s="0" t="s">
        <v>50</v>
      </c>
      <c r="Y44" s="0" t="s">
        <v>50</v>
      </c>
      <c r="Z44" s="0" t="s">
        <v>50</v>
      </c>
      <c r="AA44" s="0" t="s">
        <v>110</v>
      </c>
      <c r="AB44" s="0" t="s">
        <v>50</v>
      </c>
      <c r="AC44" s="0" t="s">
        <v>53</v>
      </c>
      <c r="AD44" s="0" t="s">
        <v>54</v>
      </c>
      <c r="AE44" s="0" t="s">
        <v>446</v>
      </c>
      <c r="AF44" s="0" t="s">
        <v>447</v>
      </c>
      <c r="AG44" s="0" t="s">
        <v>448</v>
      </c>
      <c r="AH44" s="0" t="s">
        <v>449</v>
      </c>
      <c r="AI44" s="0" t="s">
        <v>50</v>
      </c>
      <c r="AJ44" s="0" t="s">
        <v>50</v>
      </c>
      <c r="AK44" s="0" t="s">
        <v>50</v>
      </c>
      <c r="AL44" s="0" t="s">
        <v>50</v>
      </c>
    </row>
    <row r="45" customFormat="false" ht="13.8" hidden="false" customHeight="false" outlineLevel="0" collapsed="false">
      <c r="B45" s="0" t="str">
        <f aca="false">HYPERLINK("https://genome.ucsc.edu/cgi-bin/hgTracks?db=hg19&amp;position=chr13%3A97639000%2D97639000", "chr13:97639000")</f>
        <v>chr13:97639000</v>
      </c>
      <c r="C45" s="0" t="s">
        <v>450</v>
      </c>
      <c r="D45" s="0" t="n">
        <v>97639000</v>
      </c>
      <c r="E45" s="0" t="n">
        <v>97639000</v>
      </c>
      <c r="F45" s="0" t="s">
        <v>40</v>
      </c>
      <c r="G45" s="0" t="s">
        <v>75</v>
      </c>
      <c r="H45" s="0" t="s">
        <v>451</v>
      </c>
      <c r="I45" s="0" t="s">
        <v>435</v>
      </c>
      <c r="J45" s="0" t="s">
        <v>452</v>
      </c>
      <c r="K45" s="0" t="s">
        <v>50</v>
      </c>
      <c r="L45" s="0" t="str">
        <f aca="false">HYPERLINK("https://www.ncbi.nlm.nih.gov/snp/rs145793060", "rs145793060")</f>
        <v>rs145793060</v>
      </c>
      <c r="M45" s="0" t="str">
        <f aca="false">HYPERLINK("https://www.genecards.org/Search/Keyword?queryString=%5Baliases%5D(%20OXGR1%20)&amp;keywords=OXGR1", "OXGR1")</f>
        <v>OXGR1</v>
      </c>
      <c r="N45" s="0" t="s">
        <v>92</v>
      </c>
      <c r="O45" s="0" t="s">
        <v>453</v>
      </c>
      <c r="P45" s="0" t="s">
        <v>454</v>
      </c>
      <c r="Q45" s="0" t="n">
        <v>0.000821</v>
      </c>
      <c r="R45" s="0" t="n">
        <v>0.001</v>
      </c>
      <c r="S45" s="0" t="n">
        <v>0.001</v>
      </c>
      <c r="T45" s="0" t="n">
        <v>-1</v>
      </c>
      <c r="U45" s="0" t="n">
        <v>0.0018</v>
      </c>
      <c r="V45" s="0" t="s">
        <v>455</v>
      </c>
      <c r="W45" s="0" t="s">
        <v>50</v>
      </c>
      <c r="X45" s="0" t="s">
        <v>50</v>
      </c>
      <c r="Y45" s="0" t="s">
        <v>50</v>
      </c>
      <c r="Z45" s="0" t="s">
        <v>51</v>
      </c>
      <c r="AA45" s="0" t="s">
        <v>110</v>
      </c>
      <c r="AB45" s="0" t="s">
        <v>50</v>
      </c>
      <c r="AC45" s="0" t="s">
        <v>53</v>
      </c>
      <c r="AD45" s="0" t="s">
        <v>54</v>
      </c>
      <c r="AE45" s="0" t="s">
        <v>456</v>
      </c>
      <c r="AF45" s="0" t="s">
        <v>457</v>
      </c>
      <c r="AG45" s="0" t="s">
        <v>458</v>
      </c>
      <c r="AH45" s="0" t="s">
        <v>50</v>
      </c>
      <c r="AI45" s="0" t="s">
        <v>50</v>
      </c>
      <c r="AJ45" s="0" t="s">
        <v>50</v>
      </c>
      <c r="AK45" s="0" t="s">
        <v>50</v>
      </c>
      <c r="AL45" s="0" t="s">
        <v>50</v>
      </c>
    </row>
    <row r="46" customFormat="false" ht="13.8" hidden="false" customHeight="false" outlineLevel="0" collapsed="false">
      <c r="B46" s="0" t="str">
        <f aca="false">HYPERLINK("https://genome.ucsc.edu/cgi-bin/hgTracks?db=hg19&amp;position=chr16%3A4407246%2D4407246", "chr16:4407246")</f>
        <v>chr16:4407246</v>
      </c>
      <c r="C46" s="0" t="s">
        <v>459</v>
      </c>
      <c r="D46" s="0" t="n">
        <v>4407246</v>
      </c>
      <c r="E46" s="0" t="n">
        <v>4407246</v>
      </c>
      <c r="F46" s="0" t="s">
        <v>74</v>
      </c>
      <c r="G46" s="0" t="s">
        <v>75</v>
      </c>
      <c r="H46" s="0" t="s">
        <v>460</v>
      </c>
      <c r="I46" s="0" t="s">
        <v>461</v>
      </c>
      <c r="J46" s="0" t="s">
        <v>462</v>
      </c>
      <c r="K46" s="0" t="s">
        <v>50</v>
      </c>
      <c r="L46" s="0" t="str">
        <f aca="false">HYPERLINK("https://www.ncbi.nlm.nih.gov/snp/rs138689319", "rs138689319")</f>
        <v>rs138689319</v>
      </c>
      <c r="M46" s="0" t="str">
        <f aca="false">HYPERLINK("https://www.genecards.org/Search/Keyword?queryString=%5Baliases%5D(%20CORO7%20)%20OR%20%5Baliases%5D(%20CORO7-PAM16%20)&amp;keywords=CORO7,CORO7-PAM16", "CORO7;CORO7-PAM16")</f>
        <v>CORO7;CORO7-PAM16</v>
      </c>
      <c r="N46" s="0" t="s">
        <v>92</v>
      </c>
      <c r="O46" s="0" t="s">
        <v>93</v>
      </c>
      <c r="P46" s="0" t="s">
        <v>463</v>
      </c>
      <c r="Q46" s="0" t="n">
        <v>0.0014</v>
      </c>
      <c r="R46" s="0" t="n">
        <v>0.0015</v>
      </c>
      <c r="S46" s="0" t="n">
        <v>0.0014</v>
      </c>
      <c r="T46" s="0" t="n">
        <v>-1</v>
      </c>
      <c r="U46" s="0" t="n">
        <v>0.0022</v>
      </c>
      <c r="V46" s="0" t="s">
        <v>384</v>
      </c>
      <c r="W46" s="0" t="s">
        <v>50</v>
      </c>
      <c r="X46" s="0" t="s">
        <v>50</v>
      </c>
      <c r="Y46" s="0" t="s">
        <v>50</v>
      </c>
      <c r="Z46" s="0" t="s">
        <v>143</v>
      </c>
      <c r="AA46" s="0" t="s">
        <v>110</v>
      </c>
      <c r="AB46" s="0" t="s">
        <v>50</v>
      </c>
      <c r="AC46" s="0" t="s">
        <v>53</v>
      </c>
      <c r="AD46" s="0" t="s">
        <v>157</v>
      </c>
      <c r="AE46" s="0" t="s">
        <v>464</v>
      </c>
      <c r="AF46" s="0" t="s">
        <v>465</v>
      </c>
      <c r="AG46" s="0" t="s">
        <v>466</v>
      </c>
      <c r="AH46" s="0" t="s">
        <v>50</v>
      </c>
      <c r="AI46" s="0" t="s">
        <v>50</v>
      </c>
      <c r="AJ46" s="0" t="s">
        <v>50</v>
      </c>
      <c r="AK46" s="0" t="s">
        <v>50</v>
      </c>
      <c r="AL46" s="0" t="s">
        <v>50</v>
      </c>
    </row>
    <row r="47" customFormat="false" ht="13.8" hidden="false" customHeight="false" outlineLevel="0" collapsed="false">
      <c r="B47" s="0" t="str">
        <f aca="false">HYPERLINK("https://genome.ucsc.edu/cgi-bin/hgTracks?db=hg19&amp;position=chr2%3A95542344%2D95542344", "chr2:95542344")</f>
        <v>chr2:95542344</v>
      </c>
      <c r="C47" s="0" t="s">
        <v>258</v>
      </c>
      <c r="D47" s="0" t="n">
        <v>95542344</v>
      </c>
      <c r="E47" s="0" t="n">
        <v>95542344</v>
      </c>
      <c r="F47" s="0" t="s">
        <v>39</v>
      </c>
      <c r="G47" s="0" t="s">
        <v>40</v>
      </c>
      <c r="H47" s="0" t="s">
        <v>467</v>
      </c>
      <c r="I47" s="0" t="s">
        <v>461</v>
      </c>
      <c r="J47" s="0" t="s">
        <v>468</v>
      </c>
      <c r="K47" s="0" t="s">
        <v>50</v>
      </c>
      <c r="L47" s="0" t="str">
        <f aca="false">HYPERLINK("https://www.ncbi.nlm.nih.gov/snp/rs545808608", "rs545808608")</f>
        <v>rs545808608</v>
      </c>
      <c r="M47" s="0" t="str">
        <f aca="false">HYPERLINK("https://www.genecards.org/Search/Keyword?queryString=%5Baliases%5D(%20TEKT4%20)&amp;keywords=TEKT4", "TEKT4")</f>
        <v>TEKT4</v>
      </c>
      <c r="N47" s="0" t="s">
        <v>92</v>
      </c>
      <c r="O47" s="0" t="s">
        <v>93</v>
      </c>
      <c r="P47" s="0" t="s">
        <v>469</v>
      </c>
      <c r="Q47" s="0" t="n">
        <v>0.001</v>
      </c>
      <c r="R47" s="0" t="n">
        <v>-1</v>
      </c>
      <c r="S47" s="0" t="n">
        <v>-1</v>
      </c>
      <c r="T47" s="0" t="n">
        <v>-1</v>
      </c>
      <c r="U47" s="0" t="n">
        <v>-1</v>
      </c>
      <c r="V47" s="0" t="s">
        <v>399</v>
      </c>
      <c r="W47" s="0" t="s">
        <v>50</v>
      </c>
      <c r="X47" s="0" t="s">
        <v>50</v>
      </c>
      <c r="Y47" s="0" t="s">
        <v>50</v>
      </c>
      <c r="Z47" s="0" t="s">
        <v>109</v>
      </c>
      <c r="AA47" s="0" t="s">
        <v>110</v>
      </c>
      <c r="AB47" s="0" t="s">
        <v>50</v>
      </c>
      <c r="AC47" s="0" t="s">
        <v>53</v>
      </c>
      <c r="AD47" s="0" t="s">
        <v>54</v>
      </c>
      <c r="AE47" s="0" t="s">
        <v>470</v>
      </c>
      <c r="AF47" s="0" t="s">
        <v>471</v>
      </c>
      <c r="AG47" s="0" t="s">
        <v>472</v>
      </c>
      <c r="AH47" s="0" t="s">
        <v>50</v>
      </c>
      <c r="AI47" s="0" t="s">
        <v>50</v>
      </c>
      <c r="AJ47" s="0" t="s">
        <v>473</v>
      </c>
      <c r="AK47" s="0" t="s">
        <v>50</v>
      </c>
      <c r="AL47" s="0" t="s">
        <v>474</v>
      </c>
    </row>
    <row r="48" customFormat="false" ht="13.8" hidden="false" customHeight="false" outlineLevel="0" collapsed="false">
      <c r="B48" s="0" t="str">
        <f aca="false">HYPERLINK("https://genome.ucsc.edu/cgi-bin/hgTracks?db=hg19&amp;position=chr2%3A96519588%2D96519588", "chr2:96519588")</f>
        <v>chr2:96519588</v>
      </c>
      <c r="C48" s="0" t="s">
        <v>258</v>
      </c>
      <c r="D48" s="0" t="n">
        <v>96519588</v>
      </c>
      <c r="E48" s="0" t="n">
        <v>96519588</v>
      </c>
      <c r="F48" s="0" t="s">
        <v>74</v>
      </c>
      <c r="G48" s="0" t="s">
        <v>75</v>
      </c>
      <c r="H48" s="0" t="s">
        <v>475</v>
      </c>
      <c r="I48" s="0" t="s">
        <v>476</v>
      </c>
      <c r="J48" s="0" t="s">
        <v>477</v>
      </c>
      <c r="K48" s="0" t="s">
        <v>50</v>
      </c>
      <c r="L48" s="0" t="str">
        <f aca="false">HYPERLINK("https://www.ncbi.nlm.nih.gov/snp/rs56121945", "rs56121945")</f>
        <v>rs56121945</v>
      </c>
      <c r="M48" s="0" t="str">
        <f aca="false">HYPERLINK("https://www.genecards.org/Search/Keyword?queryString=%5Baliases%5D(%20ANKRD36C%20)&amp;keywords=ANKRD36C", "ANKRD36C")</f>
        <v>ANKRD36C</v>
      </c>
      <c r="N48" s="0" t="s">
        <v>478</v>
      </c>
      <c r="O48" s="0" t="s">
        <v>93</v>
      </c>
      <c r="P48" s="0" t="s">
        <v>479</v>
      </c>
      <c r="Q48" s="0" t="n">
        <v>0.0005045</v>
      </c>
      <c r="R48" s="0" t="n">
        <v>-1</v>
      </c>
      <c r="S48" s="0" t="n">
        <v>-1</v>
      </c>
      <c r="T48" s="0" t="n">
        <v>-1</v>
      </c>
      <c r="U48" s="0" t="n">
        <v>-1</v>
      </c>
      <c r="V48" s="0" t="s">
        <v>66</v>
      </c>
      <c r="W48" s="0" t="s">
        <v>50</v>
      </c>
      <c r="X48" s="0" t="s">
        <v>50</v>
      </c>
      <c r="Y48" s="0" t="s">
        <v>50</v>
      </c>
      <c r="Z48" s="0" t="s">
        <v>51</v>
      </c>
      <c r="AA48" s="0" t="s">
        <v>110</v>
      </c>
      <c r="AB48" s="0" t="s">
        <v>50</v>
      </c>
      <c r="AC48" s="0" t="s">
        <v>53</v>
      </c>
      <c r="AD48" s="0" t="s">
        <v>480</v>
      </c>
      <c r="AE48" s="0" t="s">
        <v>50</v>
      </c>
      <c r="AF48" s="0" t="s">
        <v>481</v>
      </c>
      <c r="AG48" s="0" t="s">
        <v>50</v>
      </c>
      <c r="AH48" s="0" t="s">
        <v>50</v>
      </c>
      <c r="AI48" s="0" t="s">
        <v>50</v>
      </c>
      <c r="AJ48" s="0" t="s">
        <v>50</v>
      </c>
      <c r="AK48" s="0" t="s">
        <v>50</v>
      </c>
      <c r="AL48" s="0" t="s">
        <v>50</v>
      </c>
    </row>
    <row r="49" customFormat="false" ht="13.8" hidden="false" customHeight="false" outlineLevel="0" collapsed="false">
      <c r="B49" s="0" t="str">
        <f aca="false">HYPERLINK("https://genome.ucsc.edu/cgi-bin/hgTracks?db=hg19&amp;position=chr2%3A96521337%2D96521337", "chr2:96521337")</f>
        <v>chr2:96521337</v>
      </c>
      <c r="C49" s="0" t="s">
        <v>258</v>
      </c>
      <c r="D49" s="0" t="n">
        <v>96521337</v>
      </c>
      <c r="E49" s="0" t="n">
        <v>96521337</v>
      </c>
      <c r="F49" s="0" t="s">
        <v>74</v>
      </c>
      <c r="G49" s="0" t="s">
        <v>75</v>
      </c>
      <c r="H49" s="0" t="s">
        <v>482</v>
      </c>
      <c r="I49" s="0" t="s">
        <v>483</v>
      </c>
      <c r="J49" s="0" t="s">
        <v>484</v>
      </c>
      <c r="K49" s="0" t="s">
        <v>50</v>
      </c>
      <c r="L49" s="0" t="str">
        <f aca="false">HYPERLINK("https://www.ncbi.nlm.nih.gov/snp/rs200422439", "rs200422439")</f>
        <v>rs200422439</v>
      </c>
      <c r="M49" s="0" t="str">
        <f aca="false">HYPERLINK("https://www.genecards.org/Search/Keyword?queryString=%5Baliases%5D(%20ANKRD36C%20)&amp;keywords=ANKRD36C", "ANKRD36C")</f>
        <v>ANKRD36C</v>
      </c>
      <c r="N49" s="0" t="s">
        <v>485</v>
      </c>
      <c r="O49" s="0" t="s">
        <v>93</v>
      </c>
      <c r="P49" s="0" t="s">
        <v>486</v>
      </c>
      <c r="Q49" s="0" t="n">
        <v>6.5E-006</v>
      </c>
      <c r="R49" s="0" t="n">
        <v>-1</v>
      </c>
      <c r="S49" s="0" t="n">
        <v>-1</v>
      </c>
      <c r="T49" s="0" t="n">
        <v>-1</v>
      </c>
      <c r="U49" s="0" t="n">
        <v>-1</v>
      </c>
      <c r="V49" s="0" t="s">
        <v>455</v>
      </c>
      <c r="W49" s="0" t="s">
        <v>50</v>
      </c>
      <c r="X49" s="0" t="s">
        <v>50</v>
      </c>
      <c r="Y49" s="0" t="s">
        <v>50</v>
      </c>
      <c r="Z49" s="0" t="s">
        <v>51</v>
      </c>
      <c r="AA49" s="0" t="s">
        <v>110</v>
      </c>
      <c r="AB49" s="0" t="s">
        <v>50</v>
      </c>
      <c r="AC49" s="0" t="s">
        <v>53</v>
      </c>
      <c r="AD49" s="0" t="s">
        <v>480</v>
      </c>
      <c r="AE49" s="0" t="s">
        <v>50</v>
      </c>
      <c r="AF49" s="0" t="s">
        <v>481</v>
      </c>
      <c r="AG49" s="0" t="s">
        <v>50</v>
      </c>
      <c r="AH49" s="0" t="s">
        <v>50</v>
      </c>
      <c r="AI49" s="0" t="s">
        <v>50</v>
      </c>
      <c r="AJ49" s="0" t="s">
        <v>50</v>
      </c>
      <c r="AK49" s="0" t="s">
        <v>50</v>
      </c>
      <c r="AL49" s="0" t="s">
        <v>50</v>
      </c>
    </row>
    <row r="50" customFormat="false" ht="13.8" hidden="false" customHeight="false" outlineLevel="0" collapsed="false">
      <c r="B50" s="0" t="str">
        <f aca="false">HYPERLINK("https://genome.ucsc.edu/cgi-bin/hgTracks?db=hg19&amp;position=chr2%3A223559809%2D223559809", "chr2:223559809")</f>
        <v>chr2:223559809</v>
      </c>
      <c r="C50" s="0" t="s">
        <v>258</v>
      </c>
      <c r="D50" s="0" t="n">
        <v>223559809</v>
      </c>
      <c r="E50" s="0" t="n">
        <v>223559809</v>
      </c>
      <c r="F50" s="0" t="s">
        <v>74</v>
      </c>
      <c r="G50" s="0" t="s">
        <v>75</v>
      </c>
      <c r="H50" s="0" t="s">
        <v>487</v>
      </c>
      <c r="I50" s="0" t="s">
        <v>488</v>
      </c>
      <c r="J50" s="0" t="s">
        <v>489</v>
      </c>
      <c r="K50" s="0" t="s">
        <v>50</v>
      </c>
      <c r="L50" s="0" t="str">
        <f aca="false">HYPERLINK("https://www.ncbi.nlm.nih.gov/snp/rs201526036", "rs201526036")</f>
        <v>rs201526036</v>
      </c>
      <c r="M50" s="0" t="str">
        <f aca="false">HYPERLINK("https://www.genecards.org/Search/Keyword?queryString=%5Baliases%5D(%20MOGAT1%20)&amp;keywords=MOGAT1", "MOGAT1")</f>
        <v>MOGAT1</v>
      </c>
      <c r="N50" s="0" t="s">
        <v>92</v>
      </c>
      <c r="O50" s="0" t="s">
        <v>46</v>
      </c>
      <c r="P50" s="0" t="s">
        <v>490</v>
      </c>
      <c r="Q50" s="0" t="n">
        <v>0.004076</v>
      </c>
      <c r="R50" s="0" t="n">
        <v>0.0028</v>
      </c>
      <c r="S50" s="0" t="n">
        <v>0.0026</v>
      </c>
      <c r="T50" s="0" t="n">
        <v>-1</v>
      </c>
      <c r="U50" s="0" t="n">
        <v>0.0049</v>
      </c>
      <c r="V50" s="0" t="s">
        <v>155</v>
      </c>
      <c r="W50" s="0" t="s">
        <v>49</v>
      </c>
      <c r="X50" s="0" t="s">
        <v>50</v>
      </c>
      <c r="Y50" s="0" t="s">
        <v>50</v>
      </c>
      <c r="Z50" s="0" t="s">
        <v>143</v>
      </c>
      <c r="AA50" s="0" t="s">
        <v>110</v>
      </c>
      <c r="AB50" s="0" t="s">
        <v>50</v>
      </c>
      <c r="AC50" s="0" t="s">
        <v>53</v>
      </c>
      <c r="AD50" s="0" t="s">
        <v>54</v>
      </c>
      <c r="AE50" s="0" t="s">
        <v>491</v>
      </c>
      <c r="AF50" s="0" t="s">
        <v>492</v>
      </c>
      <c r="AG50" s="0" t="s">
        <v>493</v>
      </c>
      <c r="AH50" s="0" t="s">
        <v>50</v>
      </c>
      <c r="AI50" s="0" t="s">
        <v>50</v>
      </c>
      <c r="AJ50" s="0" t="s">
        <v>50</v>
      </c>
      <c r="AK50" s="0" t="s">
        <v>50</v>
      </c>
      <c r="AL50" s="0" t="s">
        <v>50</v>
      </c>
    </row>
    <row r="51" customFormat="false" ht="13.8" hidden="false" customHeight="false" outlineLevel="0" collapsed="false">
      <c r="B51" s="0" t="str">
        <f aca="false">HYPERLINK("https://genome.ucsc.edu/cgi-bin/hgTracks?db=hg19&amp;position=chr20%3A36869005%2D36869005", "chr20:36869005")</f>
        <v>chr20:36869005</v>
      </c>
      <c r="C51" s="0" t="s">
        <v>494</v>
      </c>
      <c r="D51" s="0" t="n">
        <v>36869005</v>
      </c>
      <c r="E51" s="0" t="n">
        <v>36869005</v>
      </c>
      <c r="F51" s="0" t="s">
        <v>74</v>
      </c>
      <c r="G51" s="0" t="s">
        <v>75</v>
      </c>
      <c r="H51" s="0" t="s">
        <v>495</v>
      </c>
      <c r="I51" s="0" t="s">
        <v>496</v>
      </c>
      <c r="J51" s="0" t="s">
        <v>497</v>
      </c>
      <c r="K51" s="0" t="s">
        <v>50</v>
      </c>
      <c r="L51" s="0" t="str">
        <f aca="false">HYPERLINK("https://www.ncbi.nlm.nih.gov/snp/rs41282820", "rs41282820")</f>
        <v>rs41282820</v>
      </c>
      <c r="M51" s="0" t="str">
        <f aca="false">HYPERLINK("https://www.genecards.org/Search/Keyword?queryString=%5Baliases%5D(%20KIAA1755%20)&amp;keywords=KIAA1755", "KIAA1755")</f>
        <v>KIAA1755</v>
      </c>
      <c r="N51" s="0" t="s">
        <v>92</v>
      </c>
      <c r="O51" s="0" t="s">
        <v>93</v>
      </c>
      <c r="P51" s="0" t="s">
        <v>498</v>
      </c>
      <c r="Q51" s="0" t="n">
        <v>0.0188</v>
      </c>
      <c r="R51" s="0" t="n">
        <v>0.0178</v>
      </c>
      <c r="S51" s="0" t="n">
        <v>0.0188</v>
      </c>
      <c r="T51" s="0" t="n">
        <v>-1</v>
      </c>
      <c r="U51" s="0" t="n">
        <v>0.019</v>
      </c>
      <c r="V51" s="0" t="s">
        <v>399</v>
      </c>
      <c r="W51" s="0" t="s">
        <v>50</v>
      </c>
      <c r="X51" s="0" t="s">
        <v>50</v>
      </c>
      <c r="Y51" s="0" t="s">
        <v>50</v>
      </c>
      <c r="Z51" s="0" t="s">
        <v>109</v>
      </c>
      <c r="AA51" s="0" t="s">
        <v>110</v>
      </c>
      <c r="AB51" s="0" t="s">
        <v>50</v>
      </c>
      <c r="AC51" s="0" t="s">
        <v>53</v>
      </c>
      <c r="AD51" s="0" t="s">
        <v>54</v>
      </c>
      <c r="AE51" s="0" t="s">
        <v>499</v>
      </c>
      <c r="AF51" s="0" t="s">
        <v>500</v>
      </c>
      <c r="AG51" s="0" t="s">
        <v>50</v>
      </c>
      <c r="AH51" s="0" t="s">
        <v>50</v>
      </c>
      <c r="AI51" s="0" t="s">
        <v>50</v>
      </c>
      <c r="AJ51" s="0" t="s">
        <v>50</v>
      </c>
      <c r="AK51" s="0" t="s">
        <v>50</v>
      </c>
      <c r="AL51" s="0" t="s">
        <v>50</v>
      </c>
    </row>
    <row r="52" customFormat="false" ht="13.8" hidden="false" customHeight="false" outlineLevel="0" collapsed="false">
      <c r="B52" s="0" t="str">
        <f aca="false">HYPERLINK("https://genome.ucsc.edu/cgi-bin/hgTracks?db=hg19&amp;position=chr21%3A31933454%2D31933454", "chr21:31933454")</f>
        <v>chr21:31933454</v>
      </c>
      <c r="C52" s="0" t="s">
        <v>501</v>
      </c>
      <c r="D52" s="0" t="n">
        <v>31933454</v>
      </c>
      <c r="E52" s="0" t="n">
        <v>31933454</v>
      </c>
      <c r="F52" s="0" t="s">
        <v>74</v>
      </c>
      <c r="G52" s="0" t="s">
        <v>40</v>
      </c>
      <c r="H52" s="0" t="s">
        <v>502</v>
      </c>
      <c r="I52" s="0" t="s">
        <v>244</v>
      </c>
      <c r="J52" s="0" t="s">
        <v>503</v>
      </c>
      <c r="K52" s="0" t="s">
        <v>50</v>
      </c>
      <c r="L52" s="0" t="s">
        <v>50</v>
      </c>
      <c r="M52" s="0" t="str">
        <f aca="false">HYPERLINK("https://www.genecards.org/Search/Keyword?queryString=%5Baliases%5D(%20KRTAP19-7%20)&amp;keywords=KRTAP19-7", "KRTAP19-7")</f>
        <v>KRTAP19-7</v>
      </c>
      <c r="N52" s="0" t="s">
        <v>92</v>
      </c>
      <c r="O52" s="0" t="s">
        <v>93</v>
      </c>
      <c r="P52" s="0" t="s">
        <v>504</v>
      </c>
      <c r="Q52" s="0" t="n">
        <v>-1</v>
      </c>
      <c r="R52" s="0" t="n">
        <v>-1</v>
      </c>
      <c r="S52" s="0" t="n">
        <v>-1</v>
      </c>
      <c r="T52" s="0" t="n">
        <v>-1</v>
      </c>
      <c r="U52" s="0" t="n">
        <v>-1</v>
      </c>
      <c r="V52" s="0" t="s">
        <v>505</v>
      </c>
      <c r="W52" s="0" t="s">
        <v>50</v>
      </c>
      <c r="X52" s="0" t="s">
        <v>50</v>
      </c>
      <c r="Y52" s="0" t="s">
        <v>50</v>
      </c>
      <c r="Z52" s="0" t="s">
        <v>109</v>
      </c>
      <c r="AA52" s="0" t="s">
        <v>110</v>
      </c>
      <c r="AB52" s="0" t="s">
        <v>50</v>
      </c>
      <c r="AC52" s="0" t="s">
        <v>53</v>
      </c>
      <c r="AD52" s="0" t="s">
        <v>54</v>
      </c>
      <c r="AE52" s="0" t="s">
        <v>506</v>
      </c>
      <c r="AF52" s="0" t="s">
        <v>507</v>
      </c>
      <c r="AG52" s="0" t="s">
        <v>508</v>
      </c>
      <c r="AH52" s="0" t="s">
        <v>50</v>
      </c>
      <c r="AI52" s="0" t="s">
        <v>50</v>
      </c>
      <c r="AJ52" s="0" t="s">
        <v>50</v>
      </c>
      <c r="AK52" s="0" t="s">
        <v>50</v>
      </c>
      <c r="AL52" s="0" t="s">
        <v>50</v>
      </c>
    </row>
    <row r="53" customFormat="false" ht="13.8" hidden="false" customHeight="false" outlineLevel="0" collapsed="false">
      <c r="B53" s="0" t="str">
        <f aca="false">HYPERLINK("https://genome.ucsc.edu/cgi-bin/hgTracks?db=hg19&amp;position=chr22%3A22989566%2D22989566", "chr22:22989566")</f>
        <v>chr22:22989566</v>
      </c>
      <c r="C53" s="0" t="s">
        <v>297</v>
      </c>
      <c r="D53" s="0" t="n">
        <v>22989566</v>
      </c>
      <c r="E53" s="0" t="n">
        <v>22989566</v>
      </c>
      <c r="F53" s="0" t="s">
        <v>75</v>
      </c>
      <c r="G53" s="0" t="s">
        <v>74</v>
      </c>
      <c r="H53" s="0" t="s">
        <v>509</v>
      </c>
      <c r="I53" s="0" t="s">
        <v>510</v>
      </c>
      <c r="J53" s="0" t="s">
        <v>511</v>
      </c>
      <c r="K53" s="0" t="s">
        <v>50</v>
      </c>
      <c r="L53" s="0" t="str">
        <f aca="false">HYPERLINK("https://www.ncbi.nlm.nih.gov/snp/rs4050110", "rs4050110")</f>
        <v>rs4050110</v>
      </c>
      <c r="M53" s="0" t="str">
        <f aca="false">HYPERLINK("https://www.genecards.org/Search/Keyword?queryString=%5Baliases%5D(%20GGTLC2%20)&amp;keywords=GGTLC2", "GGTLC2")</f>
        <v>GGTLC2</v>
      </c>
      <c r="N53" s="0" t="s">
        <v>45</v>
      </c>
      <c r="O53" s="0" t="s">
        <v>46</v>
      </c>
      <c r="P53" s="0" t="s">
        <v>512</v>
      </c>
      <c r="Q53" s="0" t="n">
        <v>0.002</v>
      </c>
      <c r="R53" s="0" t="n">
        <v>0.0016</v>
      </c>
      <c r="S53" s="0" t="n">
        <v>0.0018</v>
      </c>
      <c r="T53" s="0" t="n">
        <v>-1</v>
      </c>
      <c r="U53" s="0" t="n">
        <v>0.0019</v>
      </c>
      <c r="V53" s="0" t="s">
        <v>455</v>
      </c>
      <c r="W53" s="0" t="s">
        <v>50</v>
      </c>
      <c r="X53" s="0" t="s">
        <v>348</v>
      </c>
      <c r="Y53" s="0" t="s">
        <v>67</v>
      </c>
      <c r="Z53" s="0" t="s">
        <v>513</v>
      </c>
      <c r="AA53" s="0" t="s">
        <v>110</v>
      </c>
      <c r="AB53" s="0" t="s">
        <v>50</v>
      </c>
      <c r="AC53" s="0" t="s">
        <v>53</v>
      </c>
      <c r="AD53" s="0" t="s">
        <v>226</v>
      </c>
      <c r="AE53" s="0" t="s">
        <v>514</v>
      </c>
      <c r="AF53" s="0" t="s">
        <v>515</v>
      </c>
      <c r="AG53" s="0" t="s">
        <v>50</v>
      </c>
      <c r="AH53" s="0" t="s">
        <v>50</v>
      </c>
      <c r="AI53" s="0" t="s">
        <v>50</v>
      </c>
      <c r="AJ53" s="0" t="s">
        <v>50</v>
      </c>
      <c r="AK53" s="0" t="s">
        <v>50</v>
      </c>
      <c r="AL53" s="0" t="s">
        <v>277</v>
      </c>
    </row>
    <row r="54" customFormat="false" ht="13.8" hidden="false" customHeight="false" outlineLevel="0" collapsed="false">
      <c r="B54" s="0" t="str">
        <f aca="false">HYPERLINK("https://genome.ucsc.edu/cgi-bin/hgTracks?db=hg19&amp;position=chr22%3A31867903%2D31867903", "chr22:31867903")</f>
        <v>chr22:31867903</v>
      </c>
      <c r="C54" s="0" t="s">
        <v>297</v>
      </c>
      <c r="D54" s="0" t="n">
        <v>31867903</v>
      </c>
      <c r="E54" s="0" t="n">
        <v>31867903</v>
      </c>
      <c r="F54" s="0" t="s">
        <v>39</v>
      </c>
      <c r="G54" s="0" t="s">
        <v>40</v>
      </c>
      <c r="H54" s="0" t="s">
        <v>516</v>
      </c>
      <c r="I54" s="0" t="s">
        <v>517</v>
      </c>
      <c r="J54" s="0" t="s">
        <v>518</v>
      </c>
      <c r="K54" s="0" t="s">
        <v>50</v>
      </c>
      <c r="L54" s="0" t="str">
        <f aca="false">HYPERLINK("https://www.ncbi.nlm.nih.gov/snp/rs11544091", "rs11544091")</f>
        <v>rs11544091</v>
      </c>
      <c r="M54" s="0" t="str">
        <f aca="false">HYPERLINK("https://www.genecards.org/Search/Keyword?queryString=%5Baliases%5D(%20EIF4ENIF1%20)&amp;keywords=EIF4ENIF1", "EIF4ENIF1")</f>
        <v>EIF4ENIF1</v>
      </c>
      <c r="N54" s="0" t="s">
        <v>92</v>
      </c>
      <c r="O54" s="0" t="s">
        <v>46</v>
      </c>
      <c r="P54" s="0" t="s">
        <v>519</v>
      </c>
      <c r="Q54" s="0" t="n">
        <v>0.011364</v>
      </c>
      <c r="R54" s="0" t="n">
        <v>0.0073</v>
      </c>
      <c r="S54" s="0" t="n">
        <v>0.0068</v>
      </c>
      <c r="T54" s="0" t="n">
        <v>-1</v>
      </c>
      <c r="U54" s="0" t="n">
        <v>0.0089</v>
      </c>
      <c r="V54" s="0" t="s">
        <v>520</v>
      </c>
      <c r="W54" s="0" t="s">
        <v>49</v>
      </c>
      <c r="X54" s="0" t="s">
        <v>50</v>
      </c>
      <c r="Y54" s="0" t="s">
        <v>50</v>
      </c>
      <c r="Z54" s="0" t="s">
        <v>175</v>
      </c>
      <c r="AA54" s="0" t="s">
        <v>110</v>
      </c>
      <c r="AB54" s="0" t="s">
        <v>50</v>
      </c>
      <c r="AC54" s="0" t="s">
        <v>53</v>
      </c>
      <c r="AD54" s="0" t="s">
        <v>54</v>
      </c>
      <c r="AE54" s="0" t="s">
        <v>521</v>
      </c>
      <c r="AF54" s="0" t="s">
        <v>522</v>
      </c>
      <c r="AG54" s="0" t="s">
        <v>523</v>
      </c>
      <c r="AH54" s="0" t="s">
        <v>50</v>
      </c>
      <c r="AI54" s="0" t="s">
        <v>50</v>
      </c>
      <c r="AJ54" s="0" t="s">
        <v>50</v>
      </c>
      <c r="AK54" s="0" t="s">
        <v>50</v>
      </c>
      <c r="AL54" s="0" t="s">
        <v>50</v>
      </c>
    </row>
    <row r="55" customFormat="false" ht="13.8" hidden="false" customHeight="false" outlineLevel="0" collapsed="false">
      <c r="B55" s="0" t="str">
        <f aca="false">HYPERLINK("https://genome.ucsc.edu/cgi-bin/hgTracks?db=hg19&amp;position=chr3%3A180325438%2D180325438", "chr3:180325438")</f>
        <v>chr3:180325438</v>
      </c>
      <c r="C55" s="0" t="s">
        <v>115</v>
      </c>
      <c r="D55" s="0" t="n">
        <v>180325438</v>
      </c>
      <c r="E55" s="0" t="n">
        <v>180325438</v>
      </c>
      <c r="F55" s="0" t="s">
        <v>40</v>
      </c>
      <c r="G55" s="0" t="s">
        <v>74</v>
      </c>
      <c r="H55" s="0" t="s">
        <v>524</v>
      </c>
      <c r="I55" s="0" t="s">
        <v>525</v>
      </c>
      <c r="J55" s="0" t="s">
        <v>526</v>
      </c>
      <c r="K55" s="0" t="s">
        <v>50</v>
      </c>
      <c r="L55" s="0" t="s">
        <v>50</v>
      </c>
      <c r="M55" s="0" t="str">
        <f aca="false">HYPERLINK("https://www.genecards.org/Search/Keyword?queryString=%5Baliases%5D(%20TTC14%20)&amp;keywords=TTC14", "TTC14")</f>
        <v>TTC14</v>
      </c>
      <c r="N55" s="0" t="s">
        <v>92</v>
      </c>
      <c r="O55" s="0" t="s">
        <v>93</v>
      </c>
      <c r="P55" s="0" t="s">
        <v>527</v>
      </c>
      <c r="Q55" s="0" t="n">
        <v>-1</v>
      </c>
      <c r="R55" s="0" t="n">
        <v>-1</v>
      </c>
      <c r="S55" s="0" t="n">
        <v>-1</v>
      </c>
      <c r="T55" s="0" t="n">
        <v>-1</v>
      </c>
      <c r="U55" s="0" t="n">
        <v>-1</v>
      </c>
      <c r="V55" s="0" t="s">
        <v>95</v>
      </c>
      <c r="W55" s="0" t="s">
        <v>50</v>
      </c>
      <c r="X55" s="0" t="s">
        <v>50</v>
      </c>
      <c r="Y55" s="0" t="s">
        <v>50</v>
      </c>
      <c r="Z55" s="0" t="s">
        <v>175</v>
      </c>
      <c r="AA55" s="0" t="s">
        <v>110</v>
      </c>
      <c r="AB55" s="0" t="s">
        <v>50</v>
      </c>
      <c r="AC55" s="0" t="s">
        <v>53</v>
      </c>
      <c r="AD55" s="0" t="s">
        <v>54</v>
      </c>
      <c r="AE55" s="0" t="s">
        <v>528</v>
      </c>
      <c r="AF55" s="0" t="s">
        <v>529</v>
      </c>
      <c r="AG55" s="0" t="s">
        <v>50</v>
      </c>
      <c r="AH55" s="0" t="s">
        <v>50</v>
      </c>
      <c r="AI55" s="0" t="s">
        <v>50</v>
      </c>
      <c r="AJ55" s="0" t="s">
        <v>50</v>
      </c>
      <c r="AK55" s="0" t="s">
        <v>50</v>
      </c>
      <c r="AL55" s="0" t="s">
        <v>50</v>
      </c>
    </row>
    <row r="56" customFormat="false" ht="13.8" hidden="false" customHeight="false" outlineLevel="0" collapsed="false">
      <c r="B56" s="0" t="str">
        <f aca="false">HYPERLINK("https://genome.ucsc.edu/cgi-bin/hgTracks?db=hg19&amp;position=chr4%3A74607285%2D74607285", "chr4:74607285")</f>
        <v>chr4:74607285</v>
      </c>
      <c r="C56" s="0" t="s">
        <v>318</v>
      </c>
      <c r="D56" s="0" t="n">
        <v>74607285</v>
      </c>
      <c r="E56" s="0" t="n">
        <v>74607285</v>
      </c>
      <c r="F56" s="0" t="s">
        <v>74</v>
      </c>
      <c r="G56" s="0" t="s">
        <v>40</v>
      </c>
      <c r="H56" s="0" t="s">
        <v>530</v>
      </c>
      <c r="I56" s="0" t="s">
        <v>531</v>
      </c>
      <c r="J56" s="0" t="s">
        <v>532</v>
      </c>
      <c r="K56" s="0" t="s">
        <v>50</v>
      </c>
      <c r="L56" s="0" t="str">
        <f aca="false">HYPERLINK("https://www.ncbi.nlm.nih.gov/snp/rs188378669", "rs188378669")</f>
        <v>rs188378669</v>
      </c>
      <c r="M56" s="0" t="str">
        <f aca="false">HYPERLINK("https://www.genecards.org/Search/Keyword?queryString=%5Baliases%5D(%20CXCL8%20)%20OR%20%5Baliases%5D(%20IL8%20)&amp;keywords=CXCL8,IL8", "CXCL8;IL8")</f>
        <v>CXCL8;IL8</v>
      </c>
      <c r="N56" s="0" t="s">
        <v>92</v>
      </c>
      <c r="O56" s="0" t="s">
        <v>93</v>
      </c>
      <c r="P56" s="0" t="s">
        <v>533</v>
      </c>
      <c r="Q56" s="0" t="n">
        <v>0.0069</v>
      </c>
      <c r="R56" s="0" t="n">
        <v>0.0058</v>
      </c>
      <c r="S56" s="0" t="n">
        <v>0.0044</v>
      </c>
      <c r="T56" s="0" t="n">
        <v>-1</v>
      </c>
      <c r="U56" s="0" t="n">
        <v>0.01</v>
      </c>
      <c r="V56" s="0" t="s">
        <v>95</v>
      </c>
      <c r="W56" s="0" t="s">
        <v>50</v>
      </c>
      <c r="X56" s="0" t="s">
        <v>50</v>
      </c>
      <c r="Y56" s="0" t="s">
        <v>50</v>
      </c>
      <c r="Z56" s="0" t="s">
        <v>143</v>
      </c>
      <c r="AA56" s="0" t="s">
        <v>110</v>
      </c>
      <c r="AB56" s="0" t="s">
        <v>50</v>
      </c>
      <c r="AC56" s="0" t="s">
        <v>53</v>
      </c>
      <c r="AD56" s="0" t="s">
        <v>157</v>
      </c>
      <c r="AE56" s="0" t="s">
        <v>50</v>
      </c>
      <c r="AF56" s="0" t="s">
        <v>534</v>
      </c>
      <c r="AG56" s="0" t="s">
        <v>535</v>
      </c>
      <c r="AH56" s="0" t="s">
        <v>50</v>
      </c>
      <c r="AI56" s="0" t="s">
        <v>50</v>
      </c>
      <c r="AJ56" s="0" t="s">
        <v>50</v>
      </c>
      <c r="AK56" s="0" t="s">
        <v>50</v>
      </c>
      <c r="AL56" s="0" t="s">
        <v>50</v>
      </c>
    </row>
    <row r="57" customFormat="false" ht="13.8" hidden="false" customHeight="false" outlineLevel="0" collapsed="false">
      <c r="B57" s="0" t="str">
        <f aca="false">HYPERLINK("https://genome.ucsc.edu/cgi-bin/hgTracks?db=hg19&amp;position=chr4%3A103826685%2D103826685", "chr4:103826685")</f>
        <v>chr4:103826685</v>
      </c>
      <c r="C57" s="0" t="s">
        <v>318</v>
      </c>
      <c r="D57" s="0" t="n">
        <v>103826685</v>
      </c>
      <c r="E57" s="0" t="n">
        <v>103826685</v>
      </c>
      <c r="F57" s="0" t="s">
        <v>40</v>
      </c>
      <c r="G57" s="0" t="s">
        <v>75</v>
      </c>
      <c r="H57" s="0" t="s">
        <v>536</v>
      </c>
      <c r="I57" s="0" t="s">
        <v>488</v>
      </c>
      <c r="J57" s="0" t="s">
        <v>537</v>
      </c>
      <c r="K57" s="0" t="s">
        <v>50</v>
      </c>
      <c r="L57" s="0" t="str">
        <f aca="false">HYPERLINK("https://www.ncbi.nlm.nih.gov/snp/rs77618489", "rs77618489")</f>
        <v>rs77618489</v>
      </c>
      <c r="M57" s="0" t="str">
        <f aca="false">HYPERLINK("https://www.genecards.org/Search/Keyword?queryString=%5Baliases%5D(%20SLC9B1%20)&amp;keywords=SLC9B1", "SLC9B1")</f>
        <v>SLC9B1</v>
      </c>
      <c r="N57" s="0" t="s">
        <v>92</v>
      </c>
      <c r="O57" s="0" t="s">
        <v>93</v>
      </c>
      <c r="P57" s="0" t="s">
        <v>538</v>
      </c>
      <c r="Q57" s="0" t="n">
        <v>0.0292</v>
      </c>
      <c r="R57" s="0" t="n">
        <v>0.0088</v>
      </c>
      <c r="S57" s="0" t="n">
        <v>0.0086</v>
      </c>
      <c r="T57" s="0" t="n">
        <v>-1</v>
      </c>
      <c r="U57" s="0" t="n">
        <v>0.0096</v>
      </c>
      <c r="V57" s="0" t="s">
        <v>95</v>
      </c>
      <c r="W57" s="0" t="s">
        <v>50</v>
      </c>
      <c r="X57" s="0" t="s">
        <v>50</v>
      </c>
      <c r="Y57" s="0" t="s">
        <v>50</v>
      </c>
      <c r="Z57" s="0" t="s">
        <v>51</v>
      </c>
      <c r="AA57" s="0" t="s">
        <v>110</v>
      </c>
      <c r="AB57" s="0" t="s">
        <v>50</v>
      </c>
      <c r="AC57" s="0" t="s">
        <v>53</v>
      </c>
      <c r="AD57" s="0" t="s">
        <v>226</v>
      </c>
      <c r="AE57" s="0" t="s">
        <v>539</v>
      </c>
      <c r="AF57" s="0" t="s">
        <v>540</v>
      </c>
      <c r="AG57" s="0" t="s">
        <v>50</v>
      </c>
      <c r="AH57" s="0" t="s">
        <v>50</v>
      </c>
      <c r="AI57" s="0" t="s">
        <v>50</v>
      </c>
      <c r="AJ57" s="0" t="s">
        <v>50</v>
      </c>
      <c r="AK57" s="0" t="s">
        <v>50</v>
      </c>
      <c r="AL57" s="0" t="s">
        <v>474</v>
      </c>
    </row>
    <row r="58" customFormat="false" ht="13.8" hidden="false" customHeight="false" outlineLevel="0" collapsed="false">
      <c r="B58" s="0" t="str">
        <f aca="false">HYPERLINK("https://genome.ucsc.edu/cgi-bin/hgTracks?db=hg19&amp;position=chr8%3A121476001%2D121476001", "chr8:121476001")</f>
        <v>chr8:121476001</v>
      </c>
      <c r="C58" s="0" t="s">
        <v>180</v>
      </c>
      <c r="D58" s="0" t="n">
        <v>121476001</v>
      </c>
      <c r="E58" s="0" t="n">
        <v>121476001</v>
      </c>
      <c r="F58" s="0" t="s">
        <v>74</v>
      </c>
      <c r="G58" s="0" t="s">
        <v>75</v>
      </c>
      <c r="H58" s="0" t="s">
        <v>541</v>
      </c>
      <c r="I58" s="0" t="s">
        <v>531</v>
      </c>
      <c r="J58" s="0" t="s">
        <v>542</v>
      </c>
      <c r="K58" s="0" t="s">
        <v>50</v>
      </c>
      <c r="L58" s="0" t="s">
        <v>50</v>
      </c>
      <c r="M58" s="0" t="str">
        <f aca="false">HYPERLINK("https://www.genecards.org/Search/Keyword?queryString=%5Baliases%5D(%20MTBP%20)&amp;keywords=MTBP", "MTBP")</f>
        <v>MTBP</v>
      </c>
      <c r="N58" s="0" t="s">
        <v>92</v>
      </c>
      <c r="O58" s="0" t="s">
        <v>437</v>
      </c>
      <c r="P58" s="0" t="s">
        <v>543</v>
      </c>
      <c r="Q58" s="0" t="n">
        <v>-1</v>
      </c>
      <c r="R58" s="0" t="n">
        <v>-1</v>
      </c>
      <c r="S58" s="0" t="n">
        <v>-1</v>
      </c>
      <c r="T58" s="0" t="n">
        <v>-1</v>
      </c>
      <c r="U58" s="0" t="n">
        <v>-1</v>
      </c>
      <c r="V58" s="0" t="s">
        <v>50</v>
      </c>
      <c r="W58" s="0" t="s">
        <v>49</v>
      </c>
      <c r="X58" s="0" t="s">
        <v>50</v>
      </c>
      <c r="Y58" s="0" t="s">
        <v>50</v>
      </c>
      <c r="Z58" s="0" t="s">
        <v>50</v>
      </c>
      <c r="AA58" s="0" t="s">
        <v>110</v>
      </c>
      <c r="AB58" s="0" t="s">
        <v>50</v>
      </c>
      <c r="AC58" s="0" t="s">
        <v>53</v>
      </c>
      <c r="AD58" s="0" t="s">
        <v>54</v>
      </c>
      <c r="AE58" s="0" t="s">
        <v>544</v>
      </c>
      <c r="AF58" s="0" t="s">
        <v>545</v>
      </c>
      <c r="AG58" s="0" t="s">
        <v>546</v>
      </c>
      <c r="AH58" s="0" t="s">
        <v>50</v>
      </c>
      <c r="AI58" s="0" t="s">
        <v>50</v>
      </c>
      <c r="AJ58" s="0" t="s">
        <v>50</v>
      </c>
      <c r="AK58" s="0" t="s">
        <v>50</v>
      </c>
      <c r="AL58" s="0" t="s">
        <v>50</v>
      </c>
    </row>
    <row r="59" customFormat="false" ht="13.8" hidden="false" customHeight="false" outlineLevel="0" collapsed="false">
      <c r="A59" s="2"/>
      <c r="B59" s="2" t="str">
        <f aca="false">HYPERLINK("https://genome.ucsc.edu/cgi-bin/hgTracks?db=hg19&amp;position=chr1%3A117142868%2D117142868", "chr1:117142868")</f>
        <v>chr1:117142868</v>
      </c>
      <c r="C59" s="2" t="s">
        <v>126</v>
      </c>
      <c r="D59" s="2" t="n">
        <v>117142868</v>
      </c>
      <c r="E59" s="2" t="n">
        <v>117142868</v>
      </c>
      <c r="F59" s="2" t="s">
        <v>39</v>
      </c>
      <c r="G59" s="2" t="s">
        <v>40</v>
      </c>
      <c r="H59" s="2" t="s">
        <v>547</v>
      </c>
      <c r="I59" s="2" t="s">
        <v>548</v>
      </c>
      <c r="J59" s="2" t="s">
        <v>549</v>
      </c>
      <c r="K59" s="2" t="s">
        <v>50</v>
      </c>
      <c r="L59" s="2" t="str">
        <f aca="false">HYPERLINK("https://www.ncbi.nlm.nih.gov/snp/rs61730489", "rs61730489")</f>
        <v>rs61730489</v>
      </c>
      <c r="M59" s="2" t="str">
        <f aca="false">HYPERLINK("https://www.genecards.org/Search/Keyword?queryString=%5Baliases%5D(%20IGSF3%20)&amp;keywords=IGSF3", "IGSF3")</f>
        <v>IGSF3</v>
      </c>
      <c r="N59" s="2" t="s">
        <v>92</v>
      </c>
      <c r="O59" s="2" t="s">
        <v>93</v>
      </c>
      <c r="P59" s="2" t="s">
        <v>550</v>
      </c>
      <c r="Q59" s="2" t="n">
        <v>0.0001</v>
      </c>
      <c r="R59" s="2" t="n">
        <v>0.0001</v>
      </c>
      <c r="S59" s="2" t="n">
        <v>0.0003</v>
      </c>
      <c r="T59" s="2" t="n">
        <v>-1</v>
      </c>
      <c r="U59" s="2" t="n">
        <v>0.0002</v>
      </c>
      <c r="V59" s="2" t="s">
        <v>95</v>
      </c>
      <c r="W59" s="2" t="s">
        <v>50</v>
      </c>
      <c r="X59" s="2" t="s">
        <v>50</v>
      </c>
      <c r="Y59" s="2" t="s">
        <v>50</v>
      </c>
      <c r="Z59" s="2" t="s">
        <v>143</v>
      </c>
      <c r="AA59" s="2" t="s">
        <v>97</v>
      </c>
      <c r="AB59" s="2" t="s">
        <v>50</v>
      </c>
      <c r="AC59" s="2" t="s">
        <v>53</v>
      </c>
      <c r="AD59" s="2" t="s">
        <v>551</v>
      </c>
      <c r="AE59" s="2" t="s">
        <v>552</v>
      </c>
      <c r="AF59" s="2" t="s">
        <v>553</v>
      </c>
      <c r="AG59" s="2" t="s">
        <v>50</v>
      </c>
      <c r="AH59" s="2" t="s">
        <v>50</v>
      </c>
      <c r="AI59" s="2" t="s">
        <v>50</v>
      </c>
      <c r="AJ59" s="2" t="s">
        <v>50</v>
      </c>
      <c r="AK59" s="2" t="s">
        <v>50</v>
      </c>
      <c r="AL59" s="2" t="s">
        <v>277</v>
      </c>
    </row>
    <row r="60" customFormat="false" ht="13.8" hidden="false" customHeight="false" outlineLevel="0" collapsed="false">
      <c r="A60" s="2"/>
      <c r="B60" s="2" t="str">
        <f aca="false">HYPERLINK("https://genome.ucsc.edu/cgi-bin/hgTracks?db=hg19&amp;position=chr1%3A117156585%2D117156585", "chr1:117156585")</f>
        <v>chr1:117156585</v>
      </c>
      <c r="C60" s="2" t="s">
        <v>126</v>
      </c>
      <c r="D60" s="2" t="n">
        <v>117156585</v>
      </c>
      <c r="E60" s="2" t="n">
        <v>117156585</v>
      </c>
      <c r="F60" s="2" t="s">
        <v>74</v>
      </c>
      <c r="G60" s="2" t="s">
        <v>75</v>
      </c>
      <c r="H60" s="2" t="s">
        <v>554</v>
      </c>
      <c r="I60" s="2" t="s">
        <v>555</v>
      </c>
      <c r="J60" s="2" t="s">
        <v>556</v>
      </c>
      <c r="K60" s="2" t="s">
        <v>50</v>
      </c>
      <c r="L60" s="2" t="str">
        <f aca="false">HYPERLINK("https://www.ncbi.nlm.nih.gov/snp/rs139013364", "rs139013364")</f>
        <v>rs139013364</v>
      </c>
      <c r="M60" s="2" t="str">
        <f aca="false">HYPERLINK("https://www.genecards.org/Search/Keyword?queryString=%5Baliases%5D(%20IGSF3%20)&amp;keywords=IGSF3", "IGSF3")</f>
        <v>IGSF3</v>
      </c>
      <c r="N60" s="2" t="s">
        <v>92</v>
      </c>
      <c r="O60" s="2" t="s">
        <v>93</v>
      </c>
      <c r="P60" s="2" t="s">
        <v>557</v>
      </c>
      <c r="Q60" s="2" t="n">
        <v>0.0011513</v>
      </c>
      <c r="R60" s="2" t="n">
        <v>-1</v>
      </c>
      <c r="S60" s="2" t="n">
        <v>-1</v>
      </c>
      <c r="T60" s="2" t="n">
        <v>-1</v>
      </c>
      <c r="U60" s="2" t="n">
        <v>-1</v>
      </c>
      <c r="V60" s="2" t="s">
        <v>95</v>
      </c>
      <c r="W60" s="2" t="s">
        <v>50</v>
      </c>
      <c r="X60" s="2" t="s">
        <v>50</v>
      </c>
      <c r="Y60" s="2" t="s">
        <v>50</v>
      </c>
      <c r="Z60" s="2" t="s">
        <v>68</v>
      </c>
      <c r="AA60" s="2" t="s">
        <v>97</v>
      </c>
      <c r="AB60" s="2" t="s">
        <v>50</v>
      </c>
      <c r="AC60" s="2" t="s">
        <v>53</v>
      </c>
      <c r="AD60" s="2" t="s">
        <v>551</v>
      </c>
      <c r="AE60" s="2" t="s">
        <v>552</v>
      </c>
      <c r="AF60" s="2" t="s">
        <v>553</v>
      </c>
      <c r="AG60" s="2" t="s">
        <v>50</v>
      </c>
      <c r="AH60" s="2" t="s">
        <v>50</v>
      </c>
      <c r="AI60" s="2" t="s">
        <v>50</v>
      </c>
      <c r="AJ60" s="2" t="s">
        <v>50</v>
      </c>
      <c r="AK60" s="2" t="s">
        <v>50</v>
      </c>
      <c r="AL60" s="2" t="s">
        <v>474</v>
      </c>
    </row>
    <row r="61" customFormat="false" ht="13.8" hidden="false" customHeight="false" outlineLevel="0" collapsed="false">
      <c r="A61" s="2"/>
      <c r="B61" s="2" t="str">
        <f aca="false">HYPERLINK("https://genome.ucsc.edu/cgi-bin/hgTracks?db=hg19&amp;position=chr16%3A72056301%2D72056301", "chr16:72056301")</f>
        <v>chr16:72056301</v>
      </c>
      <c r="C61" s="2" t="s">
        <v>459</v>
      </c>
      <c r="D61" s="2" t="n">
        <v>72056301</v>
      </c>
      <c r="E61" s="2" t="n">
        <v>72056301</v>
      </c>
      <c r="F61" s="2" t="s">
        <v>39</v>
      </c>
      <c r="G61" s="2" t="s">
        <v>40</v>
      </c>
      <c r="H61" s="2" t="s">
        <v>558</v>
      </c>
      <c r="I61" s="2" t="s">
        <v>559</v>
      </c>
      <c r="J61" s="2" t="s">
        <v>560</v>
      </c>
      <c r="K61" s="2" t="s">
        <v>50</v>
      </c>
      <c r="L61" s="2" t="str">
        <f aca="false">HYPERLINK("https://www.ncbi.nlm.nih.gov/snp/rs750085533", "rs750085533")</f>
        <v>rs750085533</v>
      </c>
      <c r="M61" s="2" t="str">
        <f aca="false">HYPERLINK("https://www.genecards.org/Search/Keyword?queryString=%5Baliases%5D(%20DHODH%20)&amp;keywords=DHODH", "DHODH")</f>
        <v>DHODH</v>
      </c>
      <c r="N61" s="2" t="s">
        <v>92</v>
      </c>
      <c r="O61" s="2" t="s">
        <v>46</v>
      </c>
      <c r="P61" s="2" t="s">
        <v>561</v>
      </c>
      <c r="Q61" s="2" t="n">
        <v>0.0012</v>
      </c>
      <c r="R61" s="2" t="n">
        <v>0.0012</v>
      </c>
      <c r="S61" s="2" t="n">
        <v>-1</v>
      </c>
      <c r="T61" s="2" t="n">
        <v>-1</v>
      </c>
      <c r="U61" s="2" t="n">
        <v>-1</v>
      </c>
      <c r="V61" s="2" t="s">
        <v>562</v>
      </c>
      <c r="W61" s="2" t="s">
        <v>50</v>
      </c>
      <c r="X61" s="2" t="s">
        <v>50</v>
      </c>
      <c r="Y61" s="2" t="s">
        <v>50</v>
      </c>
      <c r="Z61" s="2" t="s">
        <v>68</v>
      </c>
      <c r="AA61" s="2" t="s">
        <v>237</v>
      </c>
      <c r="AB61" s="2" t="s">
        <v>50</v>
      </c>
      <c r="AC61" s="2" t="s">
        <v>53</v>
      </c>
      <c r="AD61" s="2" t="s">
        <v>54</v>
      </c>
      <c r="AE61" s="2" t="s">
        <v>563</v>
      </c>
      <c r="AF61" s="2" t="s">
        <v>564</v>
      </c>
      <c r="AG61" s="2" t="s">
        <v>565</v>
      </c>
      <c r="AH61" s="2" t="s">
        <v>566</v>
      </c>
      <c r="AI61" s="2" t="s">
        <v>50</v>
      </c>
      <c r="AJ61" s="2" t="s">
        <v>50</v>
      </c>
      <c r="AK61" s="2" t="s">
        <v>50</v>
      </c>
      <c r="AL61" s="2" t="s">
        <v>50</v>
      </c>
    </row>
    <row r="62" customFormat="false" ht="13.8" hidden="false" customHeight="false" outlineLevel="0" collapsed="false">
      <c r="B62" s="0" t="str">
        <f aca="false">HYPERLINK("https://genome.ucsc.edu/cgi-bin/hgTracks?db=hg19&amp;position=chr1%3A117158898%2D117158898", "chr1:117158898")</f>
        <v>chr1:117158898</v>
      </c>
      <c r="C62" s="0" t="s">
        <v>126</v>
      </c>
      <c r="D62" s="0" t="n">
        <v>117158898</v>
      </c>
      <c r="E62" s="0" t="n">
        <v>117158898</v>
      </c>
      <c r="F62" s="0" t="s">
        <v>39</v>
      </c>
      <c r="G62" s="0" t="s">
        <v>40</v>
      </c>
      <c r="H62" s="0" t="s">
        <v>567</v>
      </c>
      <c r="I62" s="0" t="s">
        <v>568</v>
      </c>
      <c r="J62" s="0" t="s">
        <v>569</v>
      </c>
      <c r="K62" s="0" t="s">
        <v>50</v>
      </c>
      <c r="L62" s="0" t="str">
        <f aca="false">HYPERLINK("https://www.ncbi.nlm.nih.gov/snp/rs186152746", "rs186152746")</f>
        <v>rs186152746</v>
      </c>
      <c r="M62" s="0" t="str">
        <f aca="false">HYPERLINK("https://www.genecards.org/Search/Keyword?queryString=%5Baliases%5D(%20IGSF3%20)&amp;keywords=IGSF3", "IGSF3")</f>
        <v>IGSF3</v>
      </c>
      <c r="N62" s="0" t="s">
        <v>92</v>
      </c>
      <c r="O62" s="0" t="s">
        <v>570</v>
      </c>
      <c r="P62" s="0" t="s">
        <v>571</v>
      </c>
      <c r="Q62" s="0" t="n">
        <v>6.5E-006</v>
      </c>
      <c r="R62" s="0" t="n">
        <v>-1</v>
      </c>
      <c r="S62" s="0" t="n">
        <v>-1</v>
      </c>
      <c r="T62" s="0" t="n">
        <v>-1</v>
      </c>
      <c r="U62" s="0" t="n">
        <v>-1</v>
      </c>
      <c r="V62" s="0" t="s">
        <v>572</v>
      </c>
      <c r="W62" s="0" t="s">
        <v>50</v>
      </c>
      <c r="X62" s="0" t="s">
        <v>50</v>
      </c>
      <c r="Y62" s="0" t="s">
        <v>50</v>
      </c>
      <c r="Z62" s="0" t="s">
        <v>109</v>
      </c>
      <c r="AA62" s="0" t="s">
        <v>133</v>
      </c>
      <c r="AB62" s="0" t="s">
        <v>50</v>
      </c>
      <c r="AC62" s="0" t="s">
        <v>53</v>
      </c>
      <c r="AD62" s="0" t="s">
        <v>551</v>
      </c>
      <c r="AE62" s="0" t="s">
        <v>552</v>
      </c>
      <c r="AF62" s="0" t="s">
        <v>553</v>
      </c>
      <c r="AG62" s="0" t="s">
        <v>50</v>
      </c>
      <c r="AH62" s="0" t="s">
        <v>50</v>
      </c>
      <c r="AI62" s="0" t="s">
        <v>50</v>
      </c>
      <c r="AJ62" s="0" t="s">
        <v>50</v>
      </c>
      <c r="AK62" s="0" t="s">
        <v>50</v>
      </c>
      <c r="AL62" s="0" t="s">
        <v>277</v>
      </c>
    </row>
    <row r="63" customFormat="false" ht="13.8" hidden="false" customHeight="false" outlineLevel="0" collapsed="false">
      <c r="B63" s="0" t="str">
        <f aca="false">HYPERLINK("https://genome.ucsc.edu/cgi-bin/hgTracks?db=hg19&amp;position=chr10%3A22649751%2D22649751", "chr10:22649751")</f>
        <v>chr10:22649751</v>
      </c>
      <c r="C63" s="0" t="s">
        <v>409</v>
      </c>
      <c r="D63" s="0" t="n">
        <v>22649751</v>
      </c>
      <c r="E63" s="0" t="n">
        <v>22649751</v>
      </c>
      <c r="F63" s="0" t="s">
        <v>75</v>
      </c>
      <c r="G63" s="0" t="s">
        <v>39</v>
      </c>
      <c r="H63" s="0" t="s">
        <v>573</v>
      </c>
      <c r="I63" s="0" t="s">
        <v>574</v>
      </c>
      <c r="J63" s="0" t="s">
        <v>575</v>
      </c>
      <c r="K63" s="0" t="s">
        <v>50</v>
      </c>
      <c r="L63" s="0" t="str">
        <f aca="false">HYPERLINK("https://www.ncbi.nlm.nih.gov/snp/rs1170550", "rs1170550")</f>
        <v>rs1170550</v>
      </c>
      <c r="M63" s="0" t="str">
        <f aca="false">HYPERLINK("https://www.genecards.org/Search/Keyword?queryString=%5Baliases%5D(%20SPAG6%20)&amp;keywords=SPAG6", "SPAG6")</f>
        <v>SPAG6</v>
      </c>
      <c r="N63" s="0" t="s">
        <v>92</v>
      </c>
      <c r="O63" s="0" t="s">
        <v>576</v>
      </c>
      <c r="P63" s="0" t="s">
        <v>577</v>
      </c>
      <c r="Q63" s="0" t="n">
        <v>0.0282</v>
      </c>
      <c r="R63" s="0" t="n">
        <v>0.0265</v>
      </c>
      <c r="S63" s="0" t="n">
        <v>0.0277</v>
      </c>
      <c r="T63" s="0" t="n">
        <v>-1</v>
      </c>
      <c r="U63" s="0" t="n">
        <v>0.0266</v>
      </c>
      <c r="V63" s="0" t="s">
        <v>578</v>
      </c>
      <c r="W63" s="0" t="s">
        <v>50</v>
      </c>
      <c r="X63" s="0" t="s">
        <v>50</v>
      </c>
      <c r="Y63" s="0" t="s">
        <v>50</v>
      </c>
      <c r="Z63" s="0" t="s">
        <v>109</v>
      </c>
      <c r="AA63" s="0" t="s">
        <v>133</v>
      </c>
      <c r="AB63" s="0" t="s">
        <v>50</v>
      </c>
      <c r="AC63" s="0" t="s">
        <v>53</v>
      </c>
      <c r="AD63" s="0" t="s">
        <v>54</v>
      </c>
      <c r="AE63" s="0" t="s">
        <v>579</v>
      </c>
      <c r="AF63" s="0" t="s">
        <v>580</v>
      </c>
      <c r="AG63" s="0" t="s">
        <v>581</v>
      </c>
      <c r="AH63" s="0" t="s">
        <v>50</v>
      </c>
      <c r="AI63" s="0" t="s">
        <v>50</v>
      </c>
      <c r="AJ63" s="0" t="s">
        <v>50</v>
      </c>
      <c r="AK63" s="0" t="s">
        <v>50</v>
      </c>
      <c r="AL63" s="0" t="s">
        <v>50</v>
      </c>
    </row>
    <row r="64" customFormat="false" ht="13.8" hidden="false" customHeight="false" outlineLevel="0" collapsed="false">
      <c r="B64" s="0" t="str">
        <f aca="false">HYPERLINK("https://genome.ucsc.edu/cgi-bin/hgTracks?db=hg19&amp;position=chr3%3A142746021%2D142746021", "chr3:142746021")</f>
        <v>chr3:142746021</v>
      </c>
      <c r="C64" s="0" t="s">
        <v>115</v>
      </c>
      <c r="D64" s="0" t="n">
        <v>142746021</v>
      </c>
      <c r="E64" s="0" t="n">
        <v>142746021</v>
      </c>
      <c r="F64" s="0" t="s">
        <v>75</v>
      </c>
      <c r="G64" s="0" t="s">
        <v>40</v>
      </c>
      <c r="H64" s="0" t="s">
        <v>582</v>
      </c>
      <c r="I64" s="0" t="s">
        <v>583</v>
      </c>
      <c r="J64" s="0" t="s">
        <v>584</v>
      </c>
      <c r="K64" s="0" t="s">
        <v>50</v>
      </c>
      <c r="L64" s="0" t="str">
        <f aca="false">HYPERLINK("https://www.ncbi.nlm.nih.gov/snp/rs145720949", "rs145720949")</f>
        <v>rs145720949</v>
      </c>
      <c r="M64" s="0" t="str">
        <f aca="false">HYPERLINK("https://www.genecards.org/Search/Keyword?queryString=%5Baliases%5D(%20U2SURP%20)&amp;keywords=U2SURP", "U2SURP")</f>
        <v>U2SURP</v>
      </c>
      <c r="N64" s="0" t="s">
        <v>92</v>
      </c>
      <c r="O64" s="0" t="s">
        <v>585</v>
      </c>
      <c r="P64" s="0" t="s">
        <v>586</v>
      </c>
      <c r="Q64" s="0" t="n">
        <v>0.015244</v>
      </c>
      <c r="R64" s="0" t="n">
        <v>0.011</v>
      </c>
      <c r="S64" s="0" t="n">
        <v>0.0127</v>
      </c>
      <c r="T64" s="0" t="n">
        <v>-1</v>
      </c>
      <c r="U64" s="0" t="n">
        <v>0.0081</v>
      </c>
      <c r="V64" s="0" t="s">
        <v>50</v>
      </c>
      <c r="W64" s="0" t="s">
        <v>50</v>
      </c>
      <c r="X64" s="0" t="s">
        <v>50</v>
      </c>
      <c r="Y64" s="0" t="s">
        <v>50</v>
      </c>
      <c r="Z64" s="0" t="s">
        <v>50</v>
      </c>
      <c r="AA64" s="0" t="s">
        <v>133</v>
      </c>
      <c r="AB64" s="0" t="s">
        <v>50</v>
      </c>
      <c r="AC64" s="0" t="s">
        <v>53</v>
      </c>
      <c r="AD64" s="0" t="s">
        <v>54</v>
      </c>
      <c r="AE64" s="0" t="s">
        <v>587</v>
      </c>
      <c r="AF64" s="0" t="s">
        <v>588</v>
      </c>
      <c r="AG64" s="0" t="s">
        <v>50</v>
      </c>
      <c r="AH64" s="0" t="s">
        <v>50</v>
      </c>
      <c r="AI64" s="0" t="s">
        <v>50</v>
      </c>
      <c r="AJ64" s="0" t="s">
        <v>50</v>
      </c>
      <c r="AK64" s="0" t="s">
        <v>50</v>
      </c>
      <c r="AL64" s="0" t="s">
        <v>50</v>
      </c>
    </row>
    <row r="65" customFormat="false" ht="13.8" hidden="false" customHeight="false" outlineLevel="0" collapsed="false">
      <c r="B65" s="0" t="str">
        <f aca="false">HYPERLINK("https://genome.ucsc.edu/cgi-bin/hgTracks?db=hg19&amp;position=chr1%3A1266835%2D1266835", "chr1:1266835")</f>
        <v>chr1:1266835</v>
      </c>
      <c r="C65" s="0" t="s">
        <v>126</v>
      </c>
      <c r="D65" s="0" t="n">
        <v>1266835</v>
      </c>
      <c r="E65" s="0" t="n">
        <v>1266835</v>
      </c>
      <c r="F65" s="0" t="s">
        <v>308</v>
      </c>
      <c r="G65" s="0" t="s">
        <v>74</v>
      </c>
      <c r="H65" s="0" t="s">
        <v>589</v>
      </c>
      <c r="I65" s="0" t="s">
        <v>590</v>
      </c>
      <c r="J65" s="0" t="s">
        <v>591</v>
      </c>
      <c r="K65" s="0" t="s">
        <v>50</v>
      </c>
      <c r="L65" s="0" t="str">
        <f aca="false">HYPERLINK("https://www.ncbi.nlm.nih.gov/snp/rs760227174", "rs760227174")</f>
        <v>rs760227174</v>
      </c>
      <c r="M65" s="0" t="str">
        <f aca="false">HYPERLINK("https://www.genecards.org/Search/Keyword?queryString=%5Baliases%5D(%20TAS1R3%20)&amp;keywords=TAS1R3", "TAS1R3")</f>
        <v>TAS1R3</v>
      </c>
      <c r="N65" s="0" t="s">
        <v>92</v>
      </c>
      <c r="O65" s="0" t="s">
        <v>323</v>
      </c>
      <c r="P65" s="0" t="s">
        <v>592</v>
      </c>
      <c r="Q65" s="0" t="n">
        <v>0.015</v>
      </c>
      <c r="R65" s="0" t="n">
        <v>0.0009</v>
      </c>
      <c r="S65" s="0" t="n">
        <v>0.0006</v>
      </c>
      <c r="T65" s="0" t="n">
        <v>-1</v>
      </c>
      <c r="U65" s="0" t="n">
        <v>0.0015</v>
      </c>
      <c r="V65" s="0" t="s">
        <v>50</v>
      </c>
      <c r="W65" s="0" t="s">
        <v>50</v>
      </c>
      <c r="X65" s="0" t="s">
        <v>50</v>
      </c>
      <c r="Y65" s="0" t="s">
        <v>50</v>
      </c>
      <c r="Z65" s="0" t="s">
        <v>50</v>
      </c>
      <c r="AA65" s="0" t="s">
        <v>50</v>
      </c>
      <c r="AB65" s="0" t="s">
        <v>50</v>
      </c>
      <c r="AC65" s="0" t="s">
        <v>53</v>
      </c>
      <c r="AD65" s="0" t="s">
        <v>54</v>
      </c>
      <c r="AE65" s="0" t="s">
        <v>50</v>
      </c>
      <c r="AF65" s="0" t="s">
        <v>593</v>
      </c>
      <c r="AG65" s="0" t="s">
        <v>594</v>
      </c>
      <c r="AH65" s="0" t="s">
        <v>50</v>
      </c>
      <c r="AI65" s="0" t="s">
        <v>50</v>
      </c>
      <c r="AJ65" s="0" t="s">
        <v>50</v>
      </c>
      <c r="AK65" s="0" t="s">
        <v>50</v>
      </c>
      <c r="AL65" s="0" t="s">
        <v>50</v>
      </c>
    </row>
    <row r="66" customFormat="false" ht="13.8" hidden="false" customHeight="false" outlineLevel="0" collapsed="false">
      <c r="B66" s="0" t="str">
        <f aca="false">HYPERLINK("https://genome.ucsc.edu/cgi-bin/hgTracks?db=hg19&amp;position=chr1%3A1395948%2D1395948", "chr1:1395948")</f>
        <v>chr1:1395948</v>
      </c>
      <c r="C66" s="0" t="s">
        <v>126</v>
      </c>
      <c r="D66" s="0" t="n">
        <v>1395948</v>
      </c>
      <c r="E66" s="0" t="n">
        <v>1395948</v>
      </c>
      <c r="F66" s="0" t="s">
        <v>74</v>
      </c>
      <c r="G66" s="0" t="s">
        <v>75</v>
      </c>
      <c r="H66" s="0" t="s">
        <v>595</v>
      </c>
      <c r="I66" s="0" t="s">
        <v>480</v>
      </c>
      <c r="J66" s="0" t="s">
        <v>596</v>
      </c>
      <c r="K66" s="0" t="s">
        <v>50</v>
      </c>
      <c r="L66" s="0" t="s">
        <v>50</v>
      </c>
      <c r="M66" s="0" t="str">
        <f aca="false">HYPERLINK("https://www.genecards.org/Search/Keyword?queryString=%5Baliases%5D(%20ATAD3C%20)&amp;keywords=ATAD3C", "ATAD3C")</f>
        <v>ATAD3C</v>
      </c>
      <c r="N66" s="0" t="s">
        <v>80</v>
      </c>
      <c r="O66" s="0" t="s">
        <v>50</v>
      </c>
      <c r="P66" s="0" t="s">
        <v>50</v>
      </c>
      <c r="Q66" s="0" t="n">
        <v>0.0004</v>
      </c>
      <c r="R66" s="0" t="n">
        <v>0.0005</v>
      </c>
      <c r="S66" s="0" t="n">
        <v>0.0004</v>
      </c>
      <c r="T66" s="0" t="n">
        <v>-1</v>
      </c>
      <c r="U66" s="0" t="n">
        <v>0.0007</v>
      </c>
      <c r="V66" s="0" t="s">
        <v>50</v>
      </c>
      <c r="W66" s="0" t="s">
        <v>50</v>
      </c>
      <c r="X66" s="0" t="s">
        <v>81</v>
      </c>
      <c r="Y66" s="0" t="s">
        <v>82</v>
      </c>
      <c r="Z66" s="0" t="s">
        <v>50</v>
      </c>
      <c r="AA66" s="0" t="s">
        <v>50</v>
      </c>
      <c r="AB66" s="0" t="s">
        <v>50</v>
      </c>
      <c r="AC66" s="0" t="s">
        <v>53</v>
      </c>
      <c r="AD66" s="0" t="s">
        <v>54</v>
      </c>
      <c r="AE66" s="0" t="s">
        <v>597</v>
      </c>
      <c r="AF66" s="0" t="s">
        <v>598</v>
      </c>
      <c r="AG66" s="0" t="s">
        <v>50</v>
      </c>
      <c r="AH66" s="0" t="s">
        <v>50</v>
      </c>
      <c r="AI66" s="0" t="s">
        <v>50</v>
      </c>
      <c r="AJ66" s="0" t="s">
        <v>50</v>
      </c>
      <c r="AK66" s="0" t="s">
        <v>50</v>
      </c>
      <c r="AL66" s="0" t="s">
        <v>50</v>
      </c>
    </row>
    <row r="67" customFormat="false" ht="13.8" hidden="false" customHeight="false" outlineLevel="0" collapsed="false">
      <c r="B67" s="0" t="str">
        <f aca="false">HYPERLINK("https://genome.ucsc.edu/cgi-bin/hgTracks?db=hg19&amp;position=chr1%3A1635536%2D1635536", "chr1:1635536")</f>
        <v>chr1:1635536</v>
      </c>
      <c r="C67" s="0" t="s">
        <v>126</v>
      </c>
      <c r="D67" s="0" t="n">
        <v>1635536</v>
      </c>
      <c r="E67" s="0" t="n">
        <v>1635536</v>
      </c>
      <c r="F67" s="0" t="s">
        <v>308</v>
      </c>
      <c r="G67" s="0" t="s">
        <v>75</v>
      </c>
      <c r="H67" s="0" t="s">
        <v>599</v>
      </c>
      <c r="I67" s="0" t="s">
        <v>600</v>
      </c>
      <c r="J67" s="0" t="s">
        <v>601</v>
      </c>
      <c r="K67" s="0" t="s">
        <v>50</v>
      </c>
      <c r="L67" s="0" t="str">
        <f aca="false">HYPERLINK("https://www.ncbi.nlm.nih.gov/snp/rs747876059", "rs747876059")</f>
        <v>rs747876059</v>
      </c>
      <c r="M67" s="0" t="str">
        <f aca="false">HYPERLINK("https://www.genecards.org/Search/Keyword?queryString=%5Baliases%5D(%20CDK11A%20)&amp;keywords=CDK11A", "CDK11A")</f>
        <v>CDK11A</v>
      </c>
      <c r="N67" s="0" t="s">
        <v>92</v>
      </c>
      <c r="O67" s="0" t="s">
        <v>323</v>
      </c>
      <c r="P67" s="0" t="s">
        <v>602</v>
      </c>
      <c r="Q67" s="0" t="n">
        <v>0.0113</v>
      </c>
      <c r="R67" s="0" t="n">
        <v>0.0034</v>
      </c>
      <c r="S67" s="0" t="n">
        <v>0.0031</v>
      </c>
      <c r="T67" s="0" t="n">
        <v>-1</v>
      </c>
      <c r="U67" s="0" t="n">
        <v>0.005</v>
      </c>
      <c r="V67" s="0" t="s">
        <v>50</v>
      </c>
      <c r="W67" s="0" t="s">
        <v>50</v>
      </c>
      <c r="X67" s="0" t="s">
        <v>50</v>
      </c>
      <c r="Y67" s="0" t="s">
        <v>50</v>
      </c>
      <c r="Z67" s="0" t="s">
        <v>50</v>
      </c>
      <c r="AA67" s="0" t="s">
        <v>50</v>
      </c>
      <c r="AB67" s="0" t="s">
        <v>50</v>
      </c>
      <c r="AC67" s="0" t="s">
        <v>53</v>
      </c>
      <c r="AD67" s="0" t="s">
        <v>54</v>
      </c>
      <c r="AE67" s="0" t="s">
        <v>603</v>
      </c>
      <c r="AF67" s="0" t="s">
        <v>604</v>
      </c>
      <c r="AG67" s="0" t="s">
        <v>605</v>
      </c>
      <c r="AH67" s="0" t="s">
        <v>50</v>
      </c>
      <c r="AI67" s="0" t="s">
        <v>50</v>
      </c>
      <c r="AJ67" s="0" t="s">
        <v>50</v>
      </c>
      <c r="AK67" s="0" t="s">
        <v>50</v>
      </c>
      <c r="AL67" s="0" t="s">
        <v>474</v>
      </c>
    </row>
    <row r="68" customFormat="false" ht="13.8" hidden="false" customHeight="false" outlineLevel="0" collapsed="false">
      <c r="B68" s="0" t="str">
        <f aca="false">HYPERLINK("https://genome.ucsc.edu/cgi-bin/hgTracks?db=hg19&amp;position=chr1%3A33207734%2D33207734", "chr1:33207734")</f>
        <v>chr1:33207734</v>
      </c>
      <c r="C68" s="0" t="s">
        <v>126</v>
      </c>
      <c r="D68" s="0" t="n">
        <v>33207734</v>
      </c>
      <c r="E68" s="0" t="n">
        <v>33207734</v>
      </c>
      <c r="F68" s="0" t="s">
        <v>39</v>
      </c>
      <c r="G68" s="0" t="s">
        <v>308</v>
      </c>
      <c r="H68" s="0" t="s">
        <v>606</v>
      </c>
      <c r="I68" s="0" t="s">
        <v>302</v>
      </c>
      <c r="J68" s="0" t="s">
        <v>607</v>
      </c>
      <c r="K68" s="0" t="s">
        <v>50</v>
      </c>
      <c r="L68" s="0" t="str">
        <f aca="false">HYPERLINK("https://www.ncbi.nlm.nih.gov/snp/rs936578538", "rs936578538")</f>
        <v>rs936578538</v>
      </c>
      <c r="M68" s="0" t="str">
        <f aca="false">HYPERLINK("https://www.genecards.org/Search/Keyword?queryString=%5Baliases%5D(%20KIAA1522%20)&amp;keywords=KIAA1522", "KIAA1522")</f>
        <v>KIAA1522</v>
      </c>
      <c r="N68" s="0" t="s">
        <v>92</v>
      </c>
      <c r="O68" s="0" t="s">
        <v>312</v>
      </c>
      <c r="P68" s="0" t="s">
        <v>608</v>
      </c>
      <c r="Q68" s="0" t="n">
        <v>-1</v>
      </c>
      <c r="R68" s="0" t="n">
        <v>-1</v>
      </c>
      <c r="S68" s="0" t="n">
        <v>-1</v>
      </c>
      <c r="T68" s="0" t="n">
        <v>-1</v>
      </c>
      <c r="U68" s="0" t="n">
        <v>-1</v>
      </c>
      <c r="V68" s="0" t="s">
        <v>50</v>
      </c>
      <c r="W68" s="0" t="s">
        <v>50</v>
      </c>
      <c r="X68" s="0" t="s">
        <v>50</v>
      </c>
      <c r="Y68" s="0" t="s">
        <v>50</v>
      </c>
      <c r="Z68" s="0" t="s">
        <v>50</v>
      </c>
      <c r="AA68" s="0" t="s">
        <v>50</v>
      </c>
      <c r="AB68" s="0" t="s">
        <v>50</v>
      </c>
      <c r="AC68" s="0" t="s">
        <v>53</v>
      </c>
      <c r="AD68" s="0" t="s">
        <v>54</v>
      </c>
      <c r="AE68" s="0" t="s">
        <v>609</v>
      </c>
      <c r="AF68" s="0" t="s">
        <v>610</v>
      </c>
      <c r="AG68" s="0" t="s">
        <v>50</v>
      </c>
      <c r="AH68" s="0" t="s">
        <v>50</v>
      </c>
      <c r="AI68" s="0" t="s">
        <v>50</v>
      </c>
      <c r="AJ68" s="0" t="s">
        <v>50</v>
      </c>
      <c r="AK68" s="0" t="s">
        <v>50</v>
      </c>
      <c r="AL68" s="0" t="s">
        <v>50</v>
      </c>
    </row>
    <row r="69" customFormat="false" ht="13.8" hidden="false" customHeight="false" outlineLevel="0" collapsed="false">
      <c r="B69" s="0" t="str">
        <f aca="false">HYPERLINK("https://genome.ucsc.edu/cgi-bin/hgTracks?db=hg19&amp;position=chr1%3A33485797%2D33485797", "chr1:33485797")</f>
        <v>chr1:33485797</v>
      </c>
      <c r="C69" s="0" t="s">
        <v>126</v>
      </c>
      <c r="D69" s="0" t="n">
        <v>33485797</v>
      </c>
      <c r="E69" s="0" t="n">
        <v>33485797</v>
      </c>
      <c r="F69" s="0" t="s">
        <v>308</v>
      </c>
      <c r="G69" s="0" t="s">
        <v>611</v>
      </c>
      <c r="H69" s="0" t="s">
        <v>612</v>
      </c>
      <c r="I69" s="0" t="s">
        <v>613</v>
      </c>
      <c r="J69" s="0" t="s">
        <v>614</v>
      </c>
      <c r="K69" s="0" t="s">
        <v>50</v>
      </c>
      <c r="L69" s="0" t="s">
        <v>50</v>
      </c>
      <c r="M69" s="0" t="str">
        <f aca="false">HYPERLINK("https://www.genecards.org/Search/Keyword?queryString=%5Baliases%5D(%20AK2%20)%20OR%20%5Baliases%5D(%20BC036308%20)&amp;keywords=AK2,BC036308", "AK2;BC036308")</f>
        <v>AK2;BC036308</v>
      </c>
      <c r="N69" s="0" t="s">
        <v>347</v>
      </c>
      <c r="O69" s="0" t="s">
        <v>50</v>
      </c>
      <c r="P69" s="0" t="s">
        <v>50</v>
      </c>
      <c r="Q69" s="0" t="n">
        <v>-1</v>
      </c>
      <c r="R69" s="0" t="n">
        <v>-1</v>
      </c>
      <c r="S69" s="0" t="n">
        <v>-1</v>
      </c>
      <c r="T69" s="0" t="n">
        <v>-1</v>
      </c>
      <c r="U69" s="0" t="n">
        <v>-1</v>
      </c>
      <c r="V69" s="0" t="s">
        <v>50</v>
      </c>
      <c r="W69" s="0" t="s">
        <v>50</v>
      </c>
      <c r="X69" s="0" t="s">
        <v>50</v>
      </c>
      <c r="Y69" s="0" t="s">
        <v>50</v>
      </c>
      <c r="Z69" s="0" t="s">
        <v>50</v>
      </c>
      <c r="AA69" s="0" t="s">
        <v>50</v>
      </c>
      <c r="AB69" s="0" t="s">
        <v>50</v>
      </c>
      <c r="AC69" s="0" t="s">
        <v>455</v>
      </c>
      <c r="AD69" s="0" t="s">
        <v>157</v>
      </c>
      <c r="AE69" s="0" t="s">
        <v>615</v>
      </c>
      <c r="AF69" s="0" t="s">
        <v>616</v>
      </c>
      <c r="AG69" s="0" t="s">
        <v>617</v>
      </c>
      <c r="AH69" s="0" t="s">
        <v>618</v>
      </c>
      <c r="AI69" s="0" t="s">
        <v>50</v>
      </c>
      <c r="AJ69" s="0" t="s">
        <v>50</v>
      </c>
      <c r="AK69" s="0" t="s">
        <v>50</v>
      </c>
      <c r="AL69" s="0" t="s">
        <v>50</v>
      </c>
    </row>
    <row r="70" customFormat="false" ht="13.8" hidden="false" customHeight="false" outlineLevel="0" collapsed="false">
      <c r="B70" s="0" t="str">
        <f aca="false">HYPERLINK("https://genome.ucsc.edu/cgi-bin/hgTracks?db=hg19&amp;position=chr1%3A43002200%2D43002201", "chr1:43002200")</f>
        <v>chr1:43002200</v>
      </c>
      <c r="C70" s="0" t="s">
        <v>126</v>
      </c>
      <c r="D70" s="0" t="n">
        <v>43002200</v>
      </c>
      <c r="E70" s="0" t="n">
        <v>43002201</v>
      </c>
      <c r="F70" s="0" t="s">
        <v>619</v>
      </c>
      <c r="G70" s="0" t="s">
        <v>308</v>
      </c>
      <c r="H70" s="0" t="s">
        <v>620</v>
      </c>
      <c r="I70" s="0" t="s">
        <v>621</v>
      </c>
      <c r="J70" s="0" t="s">
        <v>622</v>
      </c>
      <c r="K70" s="0" t="s">
        <v>50</v>
      </c>
      <c r="L70" s="0" t="str">
        <f aca="false">HYPERLINK("https://www.ncbi.nlm.nih.gov/snp/rs372826618", "rs372826618")</f>
        <v>rs372826618</v>
      </c>
      <c r="M70" s="0" t="str">
        <f aca="false">HYPERLINK("https://www.genecards.org/Search/Keyword?queryString=%5Baliases%5D(%20CCDC30%20)&amp;keywords=CCDC30", "CCDC30")</f>
        <v>CCDC30</v>
      </c>
      <c r="N70" s="0" t="s">
        <v>92</v>
      </c>
      <c r="O70" s="0" t="s">
        <v>312</v>
      </c>
      <c r="P70" s="0" t="s">
        <v>623</v>
      </c>
      <c r="Q70" s="0" t="n">
        <v>0.0098</v>
      </c>
      <c r="R70" s="0" t="n">
        <v>0.0015</v>
      </c>
      <c r="S70" s="0" t="n">
        <v>0.0002</v>
      </c>
      <c r="T70" s="0" t="n">
        <v>-1</v>
      </c>
      <c r="U70" s="0" t="n">
        <v>0.0006</v>
      </c>
      <c r="V70" s="0" t="s">
        <v>50</v>
      </c>
      <c r="W70" s="0" t="s">
        <v>50</v>
      </c>
      <c r="X70" s="0" t="s">
        <v>50</v>
      </c>
      <c r="Y70" s="0" t="s">
        <v>50</v>
      </c>
      <c r="Z70" s="0" t="s">
        <v>50</v>
      </c>
      <c r="AA70" s="0" t="s">
        <v>50</v>
      </c>
      <c r="AB70" s="0" t="s">
        <v>50</v>
      </c>
      <c r="AC70" s="0" t="s">
        <v>53</v>
      </c>
      <c r="AD70" s="0" t="s">
        <v>54</v>
      </c>
      <c r="AE70" s="0" t="s">
        <v>624</v>
      </c>
      <c r="AF70" s="0" t="s">
        <v>625</v>
      </c>
      <c r="AG70" s="0" t="s">
        <v>50</v>
      </c>
      <c r="AH70" s="0" t="s">
        <v>50</v>
      </c>
      <c r="AI70" s="0" t="s">
        <v>50</v>
      </c>
      <c r="AJ70" s="0" t="s">
        <v>50</v>
      </c>
      <c r="AK70" s="0" t="s">
        <v>50</v>
      </c>
      <c r="AL70" s="0" t="s">
        <v>50</v>
      </c>
    </row>
    <row r="71" s="2" customFormat="true" ht="13.8" hidden="false" customHeight="false" outlineLevel="0" collapsed="false">
      <c r="B71" s="2" t="str">
        <f aca="false">HYPERLINK("https://genome.ucsc.edu/cgi-bin/hgTracks?db=hg19&amp;position=chr1%3A74818936%2D74818936", "chr1:74818936")</f>
        <v>chr1:74818936</v>
      </c>
      <c r="C71" s="2" t="s">
        <v>126</v>
      </c>
      <c r="D71" s="2" t="n">
        <v>74818936</v>
      </c>
      <c r="E71" s="2" t="n">
        <v>74818936</v>
      </c>
      <c r="F71" s="2" t="s">
        <v>308</v>
      </c>
      <c r="G71" s="2" t="s">
        <v>40</v>
      </c>
      <c r="H71" s="2" t="s">
        <v>626</v>
      </c>
      <c r="I71" s="2" t="s">
        <v>61</v>
      </c>
      <c r="J71" s="2" t="s">
        <v>627</v>
      </c>
      <c r="K71" s="2" t="s">
        <v>50</v>
      </c>
      <c r="L71" s="2" t="str">
        <f aca="false">HYPERLINK("https://www.ncbi.nlm.nih.gov/snp/rs531606162", "rs531606162")</f>
        <v>rs531606162</v>
      </c>
      <c r="M71" s="2" t="str">
        <f aca="false">HYPERLINK("https://www.genecards.org/Search/Keyword?queryString=%5Baliases%5D(%20FPGT-TNNI3K%20)%20OR%20%5Baliases%5D(%20TNNI3K%20)&amp;keywords=FPGT-TNNI3K,TNNI3K", "FPGT-TNNI3K;TNNI3K")</f>
        <v>FPGT-TNNI3K;TNNI3K</v>
      </c>
      <c r="N71" s="2" t="s">
        <v>347</v>
      </c>
      <c r="O71" s="2" t="s">
        <v>50</v>
      </c>
      <c r="P71" s="2" t="s">
        <v>50</v>
      </c>
      <c r="Q71" s="2" t="n">
        <v>0.0097</v>
      </c>
      <c r="R71" s="2" t="n">
        <v>0.0015</v>
      </c>
      <c r="S71" s="2" t="n">
        <v>0.0012</v>
      </c>
      <c r="T71" s="2" t="n">
        <v>-1</v>
      </c>
      <c r="U71" s="2" t="n">
        <v>0.0016</v>
      </c>
      <c r="V71" s="2" t="s">
        <v>50</v>
      </c>
      <c r="W71" s="2" t="s">
        <v>50</v>
      </c>
      <c r="X71" s="2" t="s">
        <v>50</v>
      </c>
      <c r="Y71" s="2" t="s">
        <v>50</v>
      </c>
      <c r="Z71" s="2" t="s">
        <v>50</v>
      </c>
      <c r="AA71" s="2" t="s">
        <v>50</v>
      </c>
      <c r="AB71" s="2" t="s">
        <v>50</v>
      </c>
      <c r="AC71" s="2" t="s">
        <v>53</v>
      </c>
      <c r="AD71" s="2" t="s">
        <v>157</v>
      </c>
      <c r="AE71" s="2" t="s">
        <v>628</v>
      </c>
      <c r="AF71" s="2" t="s">
        <v>629</v>
      </c>
      <c r="AG71" s="2" t="s">
        <v>630</v>
      </c>
      <c r="AH71" s="2" t="s">
        <v>631</v>
      </c>
      <c r="AI71" s="2" t="s">
        <v>632</v>
      </c>
      <c r="AJ71" s="2" t="s">
        <v>50</v>
      </c>
      <c r="AK71" s="2" t="s">
        <v>50</v>
      </c>
      <c r="AL71" s="2" t="s">
        <v>50</v>
      </c>
    </row>
    <row r="72" customFormat="false" ht="13.8" hidden="false" customHeight="false" outlineLevel="0" collapsed="false">
      <c r="B72" s="0" t="str">
        <f aca="false">HYPERLINK("https://genome.ucsc.edu/cgi-bin/hgTracks?db=hg19&amp;position=chr1%3A93298679%2D93298679", "chr1:93298679")</f>
        <v>chr1:93298679</v>
      </c>
      <c r="C72" s="0" t="s">
        <v>126</v>
      </c>
      <c r="D72" s="0" t="n">
        <v>93298679</v>
      </c>
      <c r="E72" s="0" t="n">
        <v>93298679</v>
      </c>
      <c r="F72" s="0" t="s">
        <v>75</v>
      </c>
      <c r="G72" s="0" t="s">
        <v>74</v>
      </c>
      <c r="H72" s="0" t="s">
        <v>633</v>
      </c>
      <c r="I72" s="0" t="s">
        <v>634</v>
      </c>
      <c r="J72" s="0" t="s">
        <v>635</v>
      </c>
      <c r="K72" s="0" t="s">
        <v>50</v>
      </c>
      <c r="L72" s="0" t="str">
        <f aca="false">HYPERLINK("https://www.ncbi.nlm.nih.gov/snp/rs145309245", "rs145309245")</f>
        <v>rs145309245</v>
      </c>
      <c r="M72" s="0" t="str">
        <f aca="false">HYPERLINK("https://www.genecards.org/Search/Keyword?queryString=%5Baliases%5D(%20DIPK1A%20)%20OR%20%5Baliases%5D(%20RPL5%20)&amp;keywords=DIPK1A,RPL5", "DIPK1A;RPL5")</f>
        <v>DIPK1A;RPL5</v>
      </c>
      <c r="N72" s="0" t="s">
        <v>636</v>
      </c>
      <c r="O72" s="0" t="s">
        <v>50</v>
      </c>
      <c r="P72" s="0" t="s">
        <v>637</v>
      </c>
      <c r="Q72" s="0" t="n">
        <v>0.0051</v>
      </c>
      <c r="R72" s="0" t="n">
        <v>0.0068</v>
      </c>
      <c r="S72" s="0" t="n">
        <v>0.0048</v>
      </c>
      <c r="T72" s="0" t="n">
        <v>-1</v>
      </c>
      <c r="U72" s="0" t="n">
        <v>0.01</v>
      </c>
      <c r="V72" s="0" t="s">
        <v>50</v>
      </c>
      <c r="W72" s="0" t="s">
        <v>50</v>
      </c>
      <c r="X72" s="0" t="s">
        <v>49</v>
      </c>
      <c r="Y72" s="0" t="s">
        <v>82</v>
      </c>
      <c r="Z72" s="0" t="s">
        <v>50</v>
      </c>
      <c r="AA72" s="0" t="s">
        <v>50</v>
      </c>
      <c r="AB72" s="0" t="s">
        <v>50</v>
      </c>
      <c r="AC72" s="0" t="s">
        <v>53</v>
      </c>
      <c r="AD72" s="0" t="s">
        <v>157</v>
      </c>
      <c r="AE72" s="0" t="s">
        <v>638</v>
      </c>
      <c r="AF72" s="0" t="s">
        <v>639</v>
      </c>
      <c r="AG72" s="0" t="s">
        <v>640</v>
      </c>
      <c r="AH72" s="0" t="s">
        <v>641</v>
      </c>
      <c r="AI72" s="0" t="s">
        <v>50</v>
      </c>
      <c r="AJ72" s="0" t="s">
        <v>50</v>
      </c>
      <c r="AK72" s="0" t="s">
        <v>50</v>
      </c>
      <c r="AL72" s="0" t="s">
        <v>50</v>
      </c>
    </row>
    <row r="73" customFormat="false" ht="13.8" hidden="false" customHeight="false" outlineLevel="0" collapsed="false">
      <c r="B73" s="0" t="str">
        <f aca="false">HYPERLINK("https://genome.ucsc.edu/cgi-bin/hgTracks?db=hg19&amp;position=chr1%3A100177723%2D100177723", "chr1:100177723")</f>
        <v>chr1:100177723</v>
      </c>
      <c r="C73" s="0" t="s">
        <v>126</v>
      </c>
      <c r="D73" s="0" t="n">
        <v>100177723</v>
      </c>
      <c r="E73" s="0" t="n">
        <v>100177723</v>
      </c>
      <c r="F73" s="0" t="s">
        <v>39</v>
      </c>
      <c r="G73" s="0" t="s">
        <v>40</v>
      </c>
      <c r="H73" s="0" t="s">
        <v>642</v>
      </c>
      <c r="I73" s="0" t="s">
        <v>643</v>
      </c>
      <c r="J73" s="0" t="s">
        <v>644</v>
      </c>
      <c r="K73" s="0" t="s">
        <v>50</v>
      </c>
      <c r="L73" s="0" t="str">
        <f aca="false">HYPERLINK("https://www.ncbi.nlm.nih.gov/snp/rs41285732", "rs41285732")</f>
        <v>rs41285732</v>
      </c>
      <c r="M73" s="0" t="str">
        <f aca="false">HYPERLINK("https://www.genecards.org/Search/Keyword?queryString=%5Baliases%5D(%20FRRS1%20)%20OR%20%5Baliases%5D(%20MIR548N%20)&amp;keywords=FRRS1,MIR548N", "FRRS1;MIR548N")</f>
        <v>FRRS1;MIR548N</v>
      </c>
      <c r="N73" s="0" t="s">
        <v>347</v>
      </c>
      <c r="O73" s="0" t="s">
        <v>50</v>
      </c>
      <c r="P73" s="0" t="s">
        <v>50</v>
      </c>
      <c r="Q73" s="0" t="n">
        <v>0.0207</v>
      </c>
      <c r="R73" s="0" t="n">
        <v>0.0113</v>
      </c>
      <c r="S73" s="0" t="n">
        <v>0.0117</v>
      </c>
      <c r="T73" s="0" t="n">
        <v>-1</v>
      </c>
      <c r="U73" s="0" t="n">
        <v>0.0094</v>
      </c>
      <c r="V73" s="0" t="s">
        <v>50</v>
      </c>
      <c r="W73" s="0" t="s">
        <v>40</v>
      </c>
      <c r="X73" s="0" t="s">
        <v>81</v>
      </c>
      <c r="Y73" s="0" t="s">
        <v>67</v>
      </c>
      <c r="Z73" s="0" t="s">
        <v>50</v>
      </c>
      <c r="AA73" s="0" t="s">
        <v>50</v>
      </c>
      <c r="AB73" s="0" t="s">
        <v>50</v>
      </c>
      <c r="AC73" s="0" t="s">
        <v>53</v>
      </c>
      <c r="AD73" s="0" t="s">
        <v>157</v>
      </c>
      <c r="AE73" s="0" t="s">
        <v>645</v>
      </c>
      <c r="AF73" s="0" t="s">
        <v>646</v>
      </c>
      <c r="AG73" s="0" t="s">
        <v>647</v>
      </c>
      <c r="AH73" s="0" t="s">
        <v>50</v>
      </c>
      <c r="AI73" s="0" t="s">
        <v>50</v>
      </c>
      <c r="AJ73" s="0" t="s">
        <v>50</v>
      </c>
      <c r="AK73" s="0" t="s">
        <v>50</v>
      </c>
      <c r="AL73" s="0" t="s">
        <v>50</v>
      </c>
    </row>
    <row r="74" customFormat="false" ht="13.8" hidden="false" customHeight="false" outlineLevel="0" collapsed="false">
      <c r="B74" s="0" t="str">
        <f aca="false">HYPERLINK("https://genome.ucsc.edu/cgi-bin/hgTracks?db=hg19&amp;position=chr1%3A114414021%2D114414021", "chr1:114414021")</f>
        <v>chr1:114414021</v>
      </c>
      <c r="C74" s="0" t="s">
        <v>126</v>
      </c>
      <c r="D74" s="0" t="n">
        <v>114414021</v>
      </c>
      <c r="E74" s="0" t="n">
        <v>114414021</v>
      </c>
      <c r="F74" s="0" t="s">
        <v>308</v>
      </c>
      <c r="G74" s="0" t="s">
        <v>40</v>
      </c>
      <c r="H74" s="0" t="s">
        <v>606</v>
      </c>
      <c r="I74" s="0" t="s">
        <v>648</v>
      </c>
      <c r="J74" s="0" t="s">
        <v>649</v>
      </c>
      <c r="K74" s="0" t="s">
        <v>50</v>
      </c>
      <c r="L74" s="0" t="str">
        <f aca="false">HYPERLINK("https://www.ncbi.nlm.nih.gov/snp/rs942057521", "rs942057521")</f>
        <v>rs942057521</v>
      </c>
      <c r="M74" s="0" t="str">
        <f aca="false">HYPERLINK("https://www.genecards.org/Search/Keyword?queryString=%5Baliases%5D(%20AP4B1-AS1%20)%20OR%20%5Baliases%5D(%20PTPN22%20)&amp;keywords=AP4B1-AS1,PTPN22", "AP4B1-AS1;PTPN22")</f>
        <v>AP4B1-AS1;PTPN22</v>
      </c>
      <c r="N74" s="0" t="s">
        <v>347</v>
      </c>
      <c r="O74" s="0" t="s">
        <v>50</v>
      </c>
      <c r="P74" s="0" t="s">
        <v>50</v>
      </c>
      <c r="Q74" s="0" t="n">
        <v>0.0007</v>
      </c>
      <c r="R74" s="0" t="n">
        <v>0.0001</v>
      </c>
      <c r="S74" s="0" t="n">
        <v>0.0003</v>
      </c>
      <c r="T74" s="0" t="n">
        <v>-1</v>
      </c>
      <c r="U74" s="0" t="n">
        <v>0.0004</v>
      </c>
      <c r="V74" s="0" t="s">
        <v>50</v>
      </c>
      <c r="W74" s="0" t="s">
        <v>50</v>
      </c>
      <c r="X74" s="0" t="s">
        <v>50</v>
      </c>
      <c r="Y74" s="0" t="s">
        <v>50</v>
      </c>
      <c r="Z74" s="0" t="s">
        <v>50</v>
      </c>
      <c r="AA74" s="0" t="s">
        <v>50</v>
      </c>
      <c r="AB74" s="0" t="s">
        <v>50</v>
      </c>
      <c r="AC74" s="0" t="s">
        <v>53</v>
      </c>
      <c r="AD74" s="0" t="s">
        <v>157</v>
      </c>
      <c r="AE74" s="0" t="s">
        <v>650</v>
      </c>
      <c r="AF74" s="0" t="s">
        <v>651</v>
      </c>
      <c r="AG74" s="0" t="s">
        <v>652</v>
      </c>
      <c r="AH74" s="0" t="s">
        <v>653</v>
      </c>
      <c r="AI74" s="0" t="s">
        <v>50</v>
      </c>
      <c r="AJ74" s="0" t="s">
        <v>50</v>
      </c>
      <c r="AK74" s="0" t="s">
        <v>50</v>
      </c>
      <c r="AL74" s="0" t="s">
        <v>50</v>
      </c>
    </row>
    <row r="75" customFormat="false" ht="13.8" hidden="false" customHeight="false" outlineLevel="0" collapsed="false">
      <c r="B75" s="0" t="str">
        <f aca="false">HYPERLINK("https://genome.ucsc.edu/cgi-bin/hgTracks?db=hg19&amp;position=chr1%3A115537600%2D115537600", "chr1:115537600")</f>
        <v>chr1:115537600</v>
      </c>
      <c r="C75" s="0" t="s">
        <v>126</v>
      </c>
      <c r="D75" s="0" t="n">
        <v>115537600</v>
      </c>
      <c r="E75" s="0" t="n">
        <v>115537600</v>
      </c>
      <c r="F75" s="0" t="s">
        <v>308</v>
      </c>
      <c r="G75" s="0" t="s">
        <v>75</v>
      </c>
      <c r="H75" s="0" t="s">
        <v>654</v>
      </c>
      <c r="I75" s="0" t="s">
        <v>655</v>
      </c>
      <c r="J75" s="0" t="s">
        <v>656</v>
      </c>
      <c r="K75" s="0" t="s">
        <v>50</v>
      </c>
      <c r="L75" s="0" t="str">
        <f aca="false">HYPERLINK("https://www.ncbi.nlm.nih.gov/snp/rs748774371", "rs748774371")</f>
        <v>rs748774371</v>
      </c>
      <c r="M75" s="0" t="str">
        <f aca="false">HYPERLINK("https://www.genecards.org/Search/Keyword?queryString=%5Baliases%5D(%20SYCP1%20)&amp;keywords=SYCP1", "SYCP1")</f>
        <v>SYCP1</v>
      </c>
      <c r="N75" s="0" t="s">
        <v>92</v>
      </c>
      <c r="O75" s="0" t="s">
        <v>323</v>
      </c>
      <c r="P75" s="0" t="s">
        <v>657</v>
      </c>
      <c r="Q75" s="0" t="n">
        <v>0.0164</v>
      </c>
      <c r="R75" s="0" t="n">
        <v>0.0049</v>
      </c>
      <c r="S75" s="0" t="n">
        <v>0.0044</v>
      </c>
      <c r="T75" s="0" t="n">
        <v>-1</v>
      </c>
      <c r="U75" s="0" t="n">
        <v>0.0128</v>
      </c>
      <c r="V75" s="0" t="s">
        <v>50</v>
      </c>
      <c r="W75" s="0" t="s">
        <v>50</v>
      </c>
      <c r="X75" s="0" t="s">
        <v>50</v>
      </c>
      <c r="Y75" s="0" t="s">
        <v>50</v>
      </c>
      <c r="Z75" s="0" t="s">
        <v>50</v>
      </c>
      <c r="AA75" s="0" t="s">
        <v>50</v>
      </c>
      <c r="AB75" s="0" t="s">
        <v>50</v>
      </c>
      <c r="AC75" s="0" t="s">
        <v>53</v>
      </c>
      <c r="AD75" s="0" t="s">
        <v>54</v>
      </c>
      <c r="AE75" s="0" t="s">
        <v>658</v>
      </c>
      <c r="AF75" s="0" t="s">
        <v>659</v>
      </c>
      <c r="AG75" s="0" t="s">
        <v>660</v>
      </c>
      <c r="AH75" s="0" t="s">
        <v>50</v>
      </c>
      <c r="AI75" s="0" t="s">
        <v>661</v>
      </c>
      <c r="AJ75" s="0" t="s">
        <v>50</v>
      </c>
      <c r="AK75" s="0" t="s">
        <v>50</v>
      </c>
      <c r="AL75" s="0" t="s">
        <v>50</v>
      </c>
    </row>
    <row r="76" customFormat="false" ht="13.8" hidden="false" customHeight="false" outlineLevel="0" collapsed="false">
      <c r="B76" s="0" t="str">
        <f aca="false">HYPERLINK("https://genome.ucsc.edu/cgi-bin/hgTracks?db=hg19&amp;position=chr1%3A117156326%2D117156326", "chr1:117156326")</f>
        <v>chr1:117156326</v>
      </c>
      <c r="C76" s="0" t="s">
        <v>126</v>
      </c>
      <c r="D76" s="0" t="n">
        <v>117156326</v>
      </c>
      <c r="E76" s="0" t="n">
        <v>117156326</v>
      </c>
      <c r="F76" s="0" t="s">
        <v>39</v>
      </c>
      <c r="G76" s="0" t="s">
        <v>40</v>
      </c>
      <c r="H76" s="0" t="s">
        <v>554</v>
      </c>
      <c r="I76" s="0" t="s">
        <v>662</v>
      </c>
      <c r="J76" s="0" t="s">
        <v>663</v>
      </c>
      <c r="K76" s="0" t="s">
        <v>50</v>
      </c>
      <c r="L76" s="0" t="str">
        <f aca="false">HYPERLINK("https://www.ncbi.nlm.nih.gov/snp/rs201074598", "rs201074598")</f>
        <v>rs201074598</v>
      </c>
      <c r="M76" s="0" t="str">
        <f aca="false">HYPERLINK("https://www.genecards.org/Search/Keyword?queryString=%5Baliases%5D(%20IGSF3%20)&amp;keywords=IGSF3", "IGSF3")</f>
        <v>IGSF3</v>
      </c>
      <c r="N76" s="0" t="s">
        <v>80</v>
      </c>
      <c r="O76" s="0" t="s">
        <v>50</v>
      </c>
      <c r="P76" s="0" t="s">
        <v>50</v>
      </c>
      <c r="Q76" s="0" t="n">
        <v>3.84E-005</v>
      </c>
      <c r="R76" s="0" t="n">
        <v>-1</v>
      </c>
      <c r="S76" s="0" t="n">
        <v>-1</v>
      </c>
      <c r="T76" s="0" t="n">
        <v>-1</v>
      </c>
      <c r="U76" s="0" t="n">
        <v>-1</v>
      </c>
      <c r="V76" s="0" t="s">
        <v>50</v>
      </c>
      <c r="W76" s="0" t="s">
        <v>50</v>
      </c>
      <c r="X76" s="0" t="s">
        <v>49</v>
      </c>
      <c r="Y76" s="0" t="s">
        <v>82</v>
      </c>
      <c r="Z76" s="0" t="s">
        <v>50</v>
      </c>
      <c r="AA76" s="0" t="s">
        <v>50</v>
      </c>
      <c r="AB76" s="0" t="s">
        <v>50</v>
      </c>
      <c r="AC76" s="0" t="s">
        <v>53</v>
      </c>
      <c r="AD76" s="0" t="s">
        <v>551</v>
      </c>
      <c r="AE76" s="0" t="s">
        <v>552</v>
      </c>
      <c r="AF76" s="0" t="s">
        <v>553</v>
      </c>
      <c r="AG76" s="0" t="s">
        <v>50</v>
      </c>
      <c r="AH76" s="0" t="s">
        <v>50</v>
      </c>
      <c r="AI76" s="0" t="s">
        <v>50</v>
      </c>
      <c r="AJ76" s="0" t="s">
        <v>50</v>
      </c>
      <c r="AK76" s="0" t="s">
        <v>50</v>
      </c>
      <c r="AL76" s="0" t="s">
        <v>474</v>
      </c>
    </row>
    <row r="77" customFormat="false" ht="13.8" hidden="false" customHeight="false" outlineLevel="0" collapsed="false">
      <c r="B77" s="0" t="str">
        <f aca="false">HYPERLINK("https://genome.ucsc.edu/cgi-bin/hgTracks?db=hg19&amp;position=chr1%3A119988213%2D119988213", "chr1:119988213")</f>
        <v>chr1:119988213</v>
      </c>
      <c r="C77" s="0" t="s">
        <v>126</v>
      </c>
      <c r="D77" s="0" t="n">
        <v>119988213</v>
      </c>
      <c r="E77" s="0" t="n">
        <v>119988213</v>
      </c>
      <c r="F77" s="0" t="s">
        <v>75</v>
      </c>
      <c r="G77" s="0" t="s">
        <v>74</v>
      </c>
      <c r="H77" s="0" t="s">
        <v>664</v>
      </c>
      <c r="I77" s="0" t="s">
        <v>374</v>
      </c>
      <c r="J77" s="0" t="s">
        <v>665</v>
      </c>
      <c r="K77" s="0" t="s">
        <v>50</v>
      </c>
      <c r="L77" s="0" t="str">
        <f aca="false">HYPERLINK("https://www.ncbi.nlm.nih.gov/snp/rs61732183", "rs61732183")</f>
        <v>rs61732183</v>
      </c>
      <c r="M77" s="0" t="str">
        <f aca="false">HYPERLINK("https://www.genecards.org/Search/Keyword?queryString=%5Baliases%5D(%20HSD3B2%20)&amp;keywords=HSD3B2", "HSD3B2")</f>
        <v>HSD3B2</v>
      </c>
      <c r="N77" s="0" t="s">
        <v>666</v>
      </c>
      <c r="O77" s="0" t="s">
        <v>50</v>
      </c>
      <c r="P77" s="0" t="s">
        <v>667</v>
      </c>
      <c r="Q77" s="0" t="n">
        <v>0.0182</v>
      </c>
      <c r="R77" s="0" t="n">
        <v>0.0172</v>
      </c>
      <c r="S77" s="0" t="n">
        <v>0.0171</v>
      </c>
      <c r="T77" s="0" t="n">
        <v>-1</v>
      </c>
      <c r="U77" s="0" t="n">
        <v>0.0183</v>
      </c>
      <c r="V77" s="0" t="s">
        <v>50</v>
      </c>
      <c r="W77" s="0" t="s">
        <v>50</v>
      </c>
      <c r="X77" s="0" t="s">
        <v>50</v>
      </c>
      <c r="Y77" s="0" t="s">
        <v>50</v>
      </c>
      <c r="Z77" s="0" t="s">
        <v>50</v>
      </c>
      <c r="AA77" s="0" t="s">
        <v>50</v>
      </c>
      <c r="AB77" s="0" t="s">
        <v>50</v>
      </c>
      <c r="AC77" s="0" t="s">
        <v>53</v>
      </c>
      <c r="AD77" s="0" t="s">
        <v>54</v>
      </c>
      <c r="AE77" s="0" t="s">
        <v>668</v>
      </c>
      <c r="AF77" s="0" t="s">
        <v>669</v>
      </c>
      <c r="AG77" s="0" t="s">
        <v>670</v>
      </c>
      <c r="AH77" s="0" t="s">
        <v>671</v>
      </c>
      <c r="AI77" s="0" t="s">
        <v>50</v>
      </c>
      <c r="AJ77" s="0" t="s">
        <v>50</v>
      </c>
      <c r="AK77" s="0" t="s">
        <v>50</v>
      </c>
      <c r="AL77" s="0" t="s">
        <v>50</v>
      </c>
    </row>
    <row r="78" customFormat="false" ht="13.8" hidden="false" customHeight="false" outlineLevel="0" collapsed="false">
      <c r="B78" s="0" t="str">
        <f aca="false">HYPERLINK("https://genome.ucsc.edu/cgi-bin/hgTracks?db=hg19&amp;position=chr1%3A153660520%2D153660520", "chr1:153660520")</f>
        <v>chr1:153660520</v>
      </c>
      <c r="C78" s="0" t="s">
        <v>126</v>
      </c>
      <c r="D78" s="0" t="n">
        <v>153660520</v>
      </c>
      <c r="E78" s="0" t="n">
        <v>153660520</v>
      </c>
      <c r="F78" s="0" t="s">
        <v>39</v>
      </c>
      <c r="G78" s="0" t="s">
        <v>75</v>
      </c>
      <c r="H78" s="0" t="s">
        <v>672</v>
      </c>
      <c r="I78" s="0" t="s">
        <v>299</v>
      </c>
      <c r="J78" s="0" t="s">
        <v>673</v>
      </c>
      <c r="K78" s="0" t="s">
        <v>50</v>
      </c>
      <c r="L78" s="0" t="str">
        <f aca="false">HYPERLINK("https://www.ncbi.nlm.nih.gov/snp/rs143506488", "rs143506488")</f>
        <v>rs143506488</v>
      </c>
      <c r="M78" s="0" t="str">
        <f aca="false">HYPERLINK("https://www.genecards.org/Search/Keyword?queryString=%5Baliases%5D(%20NPR1%20)&amp;keywords=NPR1", "NPR1")</f>
        <v>NPR1</v>
      </c>
      <c r="N78" s="0" t="s">
        <v>80</v>
      </c>
      <c r="O78" s="0" t="s">
        <v>50</v>
      </c>
      <c r="P78" s="0" t="s">
        <v>50</v>
      </c>
      <c r="Q78" s="0" t="n">
        <v>0.003</v>
      </c>
      <c r="R78" s="0" t="n">
        <v>0.0013</v>
      </c>
      <c r="S78" s="0" t="n">
        <v>0.0011</v>
      </c>
      <c r="T78" s="0" t="n">
        <v>-1</v>
      </c>
      <c r="U78" s="0" t="n">
        <v>0.0011</v>
      </c>
      <c r="V78" s="0" t="s">
        <v>50</v>
      </c>
      <c r="W78" s="0" t="s">
        <v>40</v>
      </c>
      <c r="X78" s="0" t="s">
        <v>49</v>
      </c>
      <c r="Y78" s="0" t="s">
        <v>67</v>
      </c>
      <c r="Z78" s="0" t="s">
        <v>50</v>
      </c>
      <c r="AA78" s="0" t="s">
        <v>50</v>
      </c>
      <c r="AB78" s="0" t="s">
        <v>50</v>
      </c>
      <c r="AC78" s="0" t="s">
        <v>53</v>
      </c>
      <c r="AD78" s="0" t="s">
        <v>226</v>
      </c>
      <c r="AE78" s="0" t="s">
        <v>674</v>
      </c>
      <c r="AF78" s="0" t="s">
        <v>675</v>
      </c>
      <c r="AG78" s="0" t="s">
        <v>676</v>
      </c>
      <c r="AH78" s="0" t="s">
        <v>50</v>
      </c>
      <c r="AI78" s="0" t="s">
        <v>50</v>
      </c>
      <c r="AJ78" s="0" t="s">
        <v>50</v>
      </c>
      <c r="AK78" s="0" t="s">
        <v>50</v>
      </c>
      <c r="AL78" s="0" t="s">
        <v>50</v>
      </c>
    </row>
    <row r="79" customFormat="false" ht="13.8" hidden="false" customHeight="false" outlineLevel="0" collapsed="false">
      <c r="B79" s="0" t="str">
        <f aca="false">HYPERLINK("https://genome.ucsc.edu/cgi-bin/hgTracks?db=hg19&amp;position=chr1%3A153662598%2D153662598", "chr1:153662598")</f>
        <v>chr1:153662598</v>
      </c>
      <c r="C79" s="0" t="s">
        <v>126</v>
      </c>
      <c r="D79" s="0" t="n">
        <v>153662598</v>
      </c>
      <c r="E79" s="0" t="n">
        <v>153662598</v>
      </c>
      <c r="F79" s="0" t="s">
        <v>39</v>
      </c>
      <c r="G79" s="0" t="s">
        <v>74</v>
      </c>
      <c r="H79" s="0" t="s">
        <v>677</v>
      </c>
      <c r="I79" s="0" t="s">
        <v>678</v>
      </c>
      <c r="J79" s="0" t="s">
        <v>679</v>
      </c>
      <c r="K79" s="0" t="s">
        <v>50</v>
      </c>
      <c r="L79" s="0" t="s">
        <v>50</v>
      </c>
      <c r="M79" s="0" t="str">
        <f aca="false">HYPERLINK("https://www.genecards.org/Search/Keyword?queryString=%5Baliases%5D(%20NPR1%20)&amp;keywords=NPR1", "NPR1")</f>
        <v>NPR1</v>
      </c>
      <c r="N79" s="0" t="s">
        <v>80</v>
      </c>
      <c r="O79" s="0" t="s">
        <v>50</v>
      </c>
      <c r="P79" s="0" t="s">
        <v>50</v>
      </c>
      <c r="Q79" s="0" t="n">
        <v>3.84E-005</v>
      </c>
      <c r="R79" s="0" t="n">
        <v>-1</v>
      </c>
      <c r="S79" s="0" t="n">
        <v>-1</v>
      </c>
      <c r="T79" s="0" t="n">
        <v>-1</v>
      </c>
      <c r="U79" s="0" t="n">
        <v>-1</v>
      </c>
      <c r="V79" s="0" t="s">
        <v>50</v>
      </c>
      <c r="W79" s="0" t="s">
        <v>50</v>
      </c>
      <c r="X79" s="0" t="s">
        <v>81</v>
      </c>
      <c r="Y79" s="0" t="s">
        <v>82</v>
      </c>
      <c r="Z79" s="0" t="s">
        <v>50</v>
      </c>
      <c r="AA79" s="0" t="s">
        <v>50</v>
      </c>
      <c r="AB79" s="0" t="s">
        <v>50</v>
      </c>
      <c r="AC79" s="0" t="s">
        <v>53</v>
      </c>
      <c r="AD79" s="0" t="s">
        <v>226</v>
      </c>
      <c r="AE79" s="0" t="s">
        <v>674</v>
      </c>
      <c r="AF79" s="0" t="s">
        <v>675</v>
      </c>
      <c r="AG79" s="0" t="s">
        <v>676</v>
      </c>
      <c r="AH79" s="0" t="s">
        <v>50</v>
      </c>
      <c r="AI79" s="0" t="s">
        <v>50</v>
      </c>
      <c r="AJ79" s="0" t="s">
        <v>50</v>
      </c>
      <c r="AK79" s="0" t="s">
        <v>50</v>
      </c>
      <c r="AL79" s="0" t="s">
        <v>50</v>
      </c>
    </row>
    <row r="80" customFormat="false" ht="13.8" hidden="false" customHeight="false" outlineLevel="0" collapsed="false">
      <c r="B80" s="0" t="str">
        <f aca="false">HYPERLINK("https://genome.ucsc.edu/cgi-bin/hgTracks?db=hg19&amp;position=chr1%3A153751860%2D153751860", "chr1:153751860")</f>
        <v>chr1:153751860</v>
      </c>
      <c r="C80" s="0" t="s">
        <v>126</v>
      </c>
      <c r="D80" s="0" t="n">
        <v>153751860</v>
      </c>
      <c r="E80" s="0" t="n">
        <v>153751860</v>
      </c>
      <c r="F80" s="0" t="s">
        <v>39</v>
      </c>
      <c r="G80" s="0" t="s">
        <v>308</v>
      </c>
      <c r="H80" s="0" t="s">
        <v>680</v>
      </c>
      <c r="I80" s="0" t="s">
        <v>681</v>
      </c>
      <c r="J80" s="0" t="s">
        <v>682</v>
      </c>
      <c r="K80" s="0" t="s">
        <v>50</v>
      </c>
      <c r="L80" s="0" t="str">
        <f aca="false">HYPERLINK("https://www.ncbi.nlm.nih.gov/snp/rs572408453", "rs572408453")</f>
        <v>rs572408453</v>
      </c>
      <c r="M80" s="0" t="str">
        <f aca="false">HYPERLINK("https://www.genecards.org/Search/Keyword?queryString=%5Baliases%5D(%20SLC27A3%20)&amp;keywords=SLC27A3", "SLC27A3")</f>
        <v>SLC27A3</v>
      </c>
      <c r="N80" s="0" t="s">
        <v>92</v>
      </c>
      <c r="O80" s="0" t="s">
        <v>683</v>
      </c>
      <c r="P80" s="0" t="s">
        <v>684</v>
      </c>
      <c r="Q80" s="0" t="n">
        <v>0.0043</v>
      </c>
      <c r="R80" s="0" t="n">
        <v>0.0004</v>
      </c>
      <c r="S80" s="0" t="n">
        <v>0.0003</v>
      </c>
      <c r="T80" s="0" t="n">
        <v>-1</v>
      </c>
      <c r="U80" s="0" t="n">
        <v>0.0004</v>
      </c>
      <c r="V80" s="0" t="s">
        <v>50</v>
      </c>
      <c r="W80" s="0" t="s">
        <v>50</v>
      </c>
      <c r="X80" s="0" t="s">
        <v>50</v>
      </c>
      <c r="Y80" s="0" t="s">
        <v>50</v>
      </c>
      <c r="Z80" s="0" t="s">
        <v>50</v>
      </c>
      <c r="AA80" s="0" t="s">
        <v>50</v>
      </c>
      <c r="AB80" s="0" t="s">
        <v>50</v>
      </c>
      <c r="AC80" s="0" t="s">
        <v>53</v>
      </c>
      <c r="AD80" s="0" t="s">
        <v>54</v>
      </c>
      <c r="AE80" s="0" t="s">
        <v>685</v>
      </c>
      <c r="AF80" s="0" t="s">
        <v>686</v>
      </c>
      <c r="AG80" s="0" t="s">
        <v>687</v>
      </c>
      <c r="AH80" s="0" t="s">
        <v>50</v>
      </c>
      <c r="AI80" s="0" t="s">
        <v>50</v>
      </c>
      <c r="AJ80" s="0" t="s">
        <v>50</v>
      </c>
      <c r="AK80" s="0" t="s">
        <v>50</v>
      </c>
      <c r="AL80" s="0" t="s">
        <v>50</v>
      </c>
    </row>
    <row r="81" customFormat="false" ht="13.8" hidden="false" customHeight="false" outlineLevel="0" collapsed="false">
      <c r="B81" s="0" t="str">
        <f aca="false">HYPERLINK("https://genome.ucsc.edu/cgi-bin/hgTracks?db=hg19&amp;position=chr1%3A157504353%2D157504353", "chr1:157504353")</f>
        <v>chr1:157504353</v>
      </c>
      <c r="C81" s="0" t="s">
        <v>126</v>
      </c>
      <c r="D81" s="0" t="n">
        <v>157504353</v>
      </c>
      <c r="E81" s="0" t="n">
        <v>157504353</v>
      </c>
      <c r="F81" s="0" t="s">
        <v>308</v>
      </c>
      <c r="G81" s="0" t="s">
        <v>74</v>
      </c>
      <c r="H81" s="0" t="s">
        <v>688</v>
      </c>
      <c r="I81" s="0" t="s">
        <v>689</v>
      </c>
      <c r="J81" s="0" t="s">
        <v>690</v>
      </c>
      <c r="K81" s="0" t="s">
        <v>50</v>
      </c>
      <c r="L81" s="0" t="str">
        <f aca="false">HYPERLINK("https://www.ncbi.nlm.nih.gov/snp/rs200167525", "rs200167525")</f>
        <v>rs200167525</v>
      </c>
      <c r="M81" s="0" t="str">
        <f aca="false">HYPERLINK("https://www.genecards.org/Search/Keyword?queryString=%5Baliases%5D(%20FCRL5%20)&amp;keywords=FCRL5", "FCRL5")</f>
        <v>FCRL5</v>
      </c>
      <c r="N81" s="0" t="s">
        <v>691</v>
      </c>
      <c r="O81" s="0" t="s">
        <v>323</v>
      </c>
      <c r="P81" s="0" t="s">
        <v>692</v>
      </c>
      <c r="Q81" s="0" t="n">
        <v>0.0239</v>
      </c>
      <c r="R81" s="0" t="n">
        <v>0.0161</v>
      </c>
      <c r="S81" s="0" t="n">
        <v>0.0161</v>
      </c>
      <c r="T81" s="0" t="n">
        <v>-1</v>
      </c>
      <c r="U81" s="0" t="n">
        <v>0.0145</v>
      </c>
      <c r="V81" s="0" t="s">
        <v>50</v>
      </c>
      <c r="W81" s="0" t="s">
        <v>50</v>
      </c>
      <c r="X81" s="0" t="s">
        <v>50</v>
      </c>
      <c r="Y81" s="0" t="s">
        <v>50</v>
      </c>
      <c r="Z81" s="0" t="s">
        <v>50</v>
      </c>
      <c r="AA81" s="0" t="s">
        <v>50</v>
      </c>
      <c r="AB81" s="0" t="s">
        <v>50</v>
      </c>
      <c r="AC81" s="0" t="s">
        <v>53</v>
      </c>
      <c r="AD81" s="0" t="s">
        <v>54</v>
      </c>
      <c r="AE81" s="0" t="s">
        <v>693</v>
      </c>
      <c r="AF81" s="0" t="s">
        <v>694</v>
      </c>
      <c r="AG81" s="0" t="s">
        <v>695</v>
      </c>
      <c r="AH81" s="0" t="s">
        <v>696</v>
      </c>
      <c r="AI81" s="0" t="s">
        <v>50</v>
      </c>
      <c r="AJ81" s="0" t="s">
        <v>50</v>
      </c>
      <c r="AK81" s="0" t="s">
        <v>50</v>
      </c>
      <c r="AL81" s="0" t="s">
        <v>50</v>
      </c>
    </row>
    <row r="82" customFormat="false" ht="13.8" hidden="false" customHeight="false" outlineLevel="0" collapsed="false">
      <c r="B82" s="0" t="str">
        <f aca="false">HYPERLINK("https://genome.ucsc.edu/cgi-bin/hgTracks?db=hg19&amp;position=chr1%3A161517993%2D161517993", "chr1:161517993")</f>
        <v>chr1:161517993</v>
      </c>
      <c r="C82" s="0" t="s">
        <v>126</v>
      </c>
      <c r="D82" s="0" t="n">
        <v>161517993</v>
      </c>
      <c r="E82" s="0" t="n">
        <v>161517993</v>
      </c>
      <c r="F82" s="0" t="s">
        <v>40</v>
      </c>
      <c r="G82" s="0" t="s">
        <v>39</v>
      </c>
      <c r="H82" s="0" t="s">
        <v>697</v>
      </c>
      <c r="I82" s="0" t="s">
        <v>302</v>
      </c>
      <c r="J82" s="0" t="s">
        <v>607</v>
      </c>
      <c r="K82" s="0" t="s">
        <v>50</v>
      </c>
      <c r="L82" s="0" t="str">
        <f aca="false">HYPERLINK("https://www.ncbi.nlm.nih.gov/snp/rs555484815", "rs555484815")</f>
        <v>rs555484815</v>
      </c>
      <c r="M82" s="0" t="str">
        <f aca="false">HYPERLINK("https://www.genecards.org/Search/Keyword?queryString=%5Baliases%5D(%20FCGR3A%20)&amp;keywords=FCGR3A", "FCGR3A")</f>
        <v>FCGR3A</v>
      </c>
      <c r="N82" s="0" t="s">
        <v>347</v>
      </c>
      <c r="O82" s="0" t="s">
        <v>50</v>
      </c>
      <c r="P82" s="0" t="s">
        <v>50</v>
      </c>
      <c r="Q82" s="0" t="n">
        <v>0.0298</v>
      </c>
      <c r="R82" s="0" t="n">
        <v>0.0246</v>
      </c>
      <c r="S82" s="0" t="n">
        <v>0.024</v>
      </c>
      <c r="T82" s="0" t="n">
        <v>-1</v>
      </c>
      <c r="U82" s="0" t="n">
        <v>0.028</v>
      </c>
      <c r="V82" s="0" t="s">
        <v>50</v>
      </c>
      <c r="W82" s="0" t="s">
        <v>50</v>
      </c>
      <c r="X82" s="0" t="s">
        <v>348</v>
      </c>
      <c r="Y82" s="0" t="s">
        <v>82</v>
      </c>
      <c r="Z82" s="0" t="s">
        <v>50</v>
      </c>
      <c r="AA82" s="0" t="s">
        <v>50</v>
      </c>
      <c r="AB82" s="0" t="s">
        <v>50</v>
      </c>
      <c r="AC82" s="0" t="s">
        <v>53</v>
      </c>
      <c r="AD82" s="0" t="s">
        <v>54</v>
      </c>
      <c r="AE82" s="0" t="s">
        <v>698</v>
      </c>
      <c r="AF82" s="0" t="s">
        <v>699</v>
      </c>
      <c r="AG82" s="0" t="s">
        <v>700</v>
      </c>
      <c r="AH82" s="0" t="s">
        <v>701</v>
      </c>
      <c r="AI82" s="0" t="s">
        <v>50</v>
      </c>
      <c r="AJ82" s="0" t="s">
        <v>50</v>
      </c>
      <c r="AK82" s="0" t="s">
        <v>50</v>
      </c>
      <c r="AL82" s="0" t="s">
        <v>50</v>
      </c>
    </row>
    <row r="83" customFormat="false" ht="13.8" hidden="false" customHeight="false" outlineLevel="0" collapsed="false">
      <c r="B83" s="0" t="str">
        <f aca="false">HYPERLINK("https://genome.ucsc.edu/cgi-bin/hgTracks?db=hg19&amp;position=chr1%3A198711589%2D198711589", "chr1:198711589")</f>
        <v>chr1:198711589</v>
      </c>
      <c r="C83" s="0" t="s">
        <v>126</v>
      </c>
      <c r="D83" s="0" t="n">
        <v>198711589</v>
      </c>
      <c r="E83" s="0" t="n">
        <v>198711589</v>
      </c>
      <c r="F83" s="0" t="s">
        <v>75</v>
      </c>
      <c r="G83" s="0" t="s">
        <v>74</v>
      </c>
      <c r="H83" s="0" t="s">
        <v>702</v>
      </c>
      <c r="I83" s="0" t="s">
        <v>703</v>
      </c>
      <c r="J83" s="0" t="s">
        <v>704</v>
      </c>
      <c r="K83" s="0" t="s">
        <v>50</v>
      </c>
      <c r="L83" s="0" t="str">
        <f aca="false">HYPERLINK("https://www.ncbi.nlm.nih.gov/snp/rs12120275", "rs12120275")</f>
        <v>rs12120275</v>
      </c>
      <c r="M83" s="0" t="str">
        <f aca="false">HYPERLINK("https://www.genecards.org/Search/Keyword?queryString=%5Baliases%5D(%20PTPRC%20)&amp;keywords=PTPRC", "PTPRC")</f>
        <v>PTPRC</v>
      </c>
      <c r="N83" s="0" t="s">
        <v>80</v>
      </c>
      <c r="O83" s="0" t="s">
        <v>50</v>
      </c>
      <c r="P83" s="0" t="s">
        <v>50</v>
      </c>
      <c r="Q83" s="0" t="n">
        <v>0.0139</v>
      </c>
      <c r="R83" s="0" t="n">
        <v>0.0089</v>
      </c>
      <c r="S83" s="0" t="n">
        <v>0.0091</v>
      </c>
      <c r="T83" s="0" t="n">
        <v>-1</v>
      </c>
      <c r="U83" s="0" t="n">
        <v>0.0069</v>
      </c>
      <c r="V83" s="0" t="s">
        <v>50</v>
      </c>
      <c r="W83" s="0" t="s">
        <v>50</v>
      </c>
      <c r="X83" s="0" t="s">
        <v>81</v>
      </c>
      <c r="Y83" s="0" t="s">
        <v>82</v>
      </c>
      <c r="Z83" s="0" t="s">
        <v>50</v>
      </c>
      <c r="AA83" s="0" t="s">
        <v>50</v>
      </c>
      <c r="AB83" s="0" t="s">
        <v>50</v>
      </c>
      <c r="AC83" s="0" t="s">
        <v>53</v>
      </c>
      <c r="AD83" s="0" t="s">
        <v>54</v>
      </c>
      <c r="AE83" s="0" t="s">
        <v>705</v>
      </c>
      <c r="AF83" s="0" t="s">
        <v>706</v>
      </c>
      <c r="AG83" s="0" t="s">
        <v>707</v>
      </c>
      <c r="AH83" s="0" t="s">
        <v>708</v>
      </c>
      <c r="AI83" s="0" t="s">
        <v>50</v>
      </c>
      <c r="AJ83" s="0" t="s">
        <v>50</v>
      </c>
      <c r="AK83" s="0" t="s">
        <v>50</v>
      </c>
      <c r="AL83" s="0" t="s">
        <v>50</v>
      </c>
    </row>
    <row r="84" customFormat="false" ht="13.8" hidden="false" customHeight="false" outlineLevel="0" collapsed="false">
      <c r="B84" s="0" t="str">
        <f aca="false">HYPERLINK("https://genome.ucsc.edu/cgi-bin/hgTracks?db=hg19&amp;position=chr1%3A201174987%2D201174987", "chr1:201174987")</f>
        <v>chr1:201174987</v>
      </c>
      <c r="C84" s="0" t="s">
        <v>126</v>
      </c>
      <c r="D84" s="0" t="n">
        <v>201174987</v>
      </c>
      <c r="E84" s="0" t="n">
        <v>201174987</v>
      </c>
      <c r="F84" s="0" t="s">
        <v>74</v>
      </c>
      <c r="G84" s="0" t="s">
        <v>75</v>
      </c>
      <c r="H84" s="0" t="s">
        <v>709</v>
      </c>
      <c r="I84" s="0" t="s">
        <v>367</v>
      </c>
      <c r="J84" s="0" t="s">
        <v>710</v>
      </c>
      <c r="K84" s="0" t="s">
        <v>50</v>
      </c>
      <c r="L84" s="0" t="str">
        <f aca="false">HYPERLINK("https://www.ncbi.nlm.nih.gov/snp/rs74497484", "rs74497484")</f>
        <v>rs74497484</v>
      </c>
      <c r="M84" s="0" t="str">
        <f aca="false">HYPERLINK("https://www.genecards.org/Search/Keyword?queryString=%5Baliases%5D(%20IGFN1%20)&amp;keywords=IGFN1", "IGFN1")</f>
        <v>IGFN1</v>
      </c>
      <c r="N84" s="0" t="s">
        <v>80</v>
      </c>
      <c r="O84" s="0" t="s">
        <v>50</v>
      </c>
      <c r="P84" s="0" t="s">
        <v>50</v>
      </c>
      <c r="Q84" s="0" t="n">
        <v>0.0179</v>
      </c>
      <c r="R84" s="0" t="n">
        <v>0.0171</v>
      </c>
      <c r="S84" s="0" t="n">
        <v>0.017</v>
      </c>
      <c r="T84" s="0" t="n">
        <v>-1</v>
      </c>
      <c r="U84" s="0" t="n">
        <v>0.0114</v>
      </c>
      <c r="V84" s="0" t="s">
        <v>50</v>
      </c>
      <c r="W84" s="0" t="s">
        <v>50</v>
      </c>
      <c r="X84" s="0" t="s">
        <v>49</v>
      </c>
      <c r="Y84" s="0" t="s">
        <v>82</v>
      </c>
      <c r="Z84" s="0" t="s">
        <v>50</v>
      </c>
      <c r="AA84" s="0" t="s">
        <v>50</v>
      </c>
      <c r="AB84" s="0" t="s">
        <v>50</v>
      </c>
      <c r="AC84" s="0" t="s">
        <v>53</v>
      </c>
      <c r="AD84" s="0" t="s">
        <v>54</v>
      </c>
      <c r="AE84" s="0" t="s">
        <v>711</v>
      </c>
      <c r="AF84" s="0" t="s">
        <v>712</v>
      </c>
      <c r="AG84" s="0" t="s">
        <v>50</v>
      </c>
      <c r="AH84" s="0" t="s">
        <v>50</v>
      </c>
      <c r="AI84" s="0" t="s">
        <v>50</v>
      </c>
      <c r="AJ84" s="0" t="s">
        <v>50</v>
      </c>
      <c r="AK84" s="0" t="s">
        <v>50</v>
      </c>
      <c r="AL84" s="0" t="s">
        <v>50</v>
      </c>
    </row>
    <row r="85" customFormat="false" ht="13.8" hidden="false" customHeight="false" outlineLevel="0" collapsed="false">
      <c r="B85" s="0" t="str">
        <f aca="false">HYPERLINK("https://genome.ucsc.edu/cgi-bin/hgTracks?db=hg19&amp;position=chr1%3A206137527%2D206137527", "chr1:206137527")</f>
        <v>chr1:206137527</v>
      </c>
      <c r="C85" s="0" t="s">
        <v>126</v>
      </c>
      <c r="D85" s="0" t="n">
        <v>206137527</v>
      </c>
      <c r="E85" s="0" t="n">
        <v>206137527</v>
      </c>
      <c r="F85" s="0" t="s">
        <v>74</v>
      </c>
      <c r="G85" s="0" t="s">
        <v>75</v>
      </c>
      <c r="H85" s="0" t="s">
        <v>713</v>
      </c>
      <c r="I85" s="0" t="s">
        <v>714</v>
      </c>
      <c r="J85" s="0" t="s">
        <v>715</v>
      </c>
      <c r="K85" s="0" t="s">
        <v>50</v>
      </c>
      <c r="L85" s="0" t="str">
        <f aca="false">HYPERLINK("https://www.ncbi.nlm.nih.gov/snp/rs782314702", "rs782314702")</f>
        <v>rs782314702</v>
      </c>
      <c r="M85" s="0" t="str">
        <f aca="false">HYPERLINK("https://www.genecards.org/Search/Keyword?queryString=%5Baliases%5D(%20FAM72A%20)&amp;keywords=FAM72A", "FAM72A")</f>
        <v>FAM72A</v>
      </c>
      <c r="N85" s="0" t="s">
        <v>716</v>
      </c>
      <c r="O85" s="0" t="s">
        <v>50</v>
      </c>
      <c r="P85" s="0" t="s">
        <v>717</v>
      </c>
      <c r="Q85" s="0" t="n">
        <v>0.0059896</v>
      </c>
      <c r="R85" s="0" t="n">
        <v>0.0004</v>
      </c>
      <c r="S85" s="0" t="n">
        <v>0.0007</v>
      </c>
      <c r="T85" s="0" t="n">
        <v>-1</v>
      </c>
      <c r="U85" s="0" t="n">
        <v>0.0004</v>
      </c>
      <c r="V85" s="0" t="s">
        <v>50</v>
      </c>
      <c r="W85" s="0" t="s">
        <v>50</v>
      </c>
      <c r="X85" s="0" t="s">
        <v>49</v>
      </c>
      <c r="Y85" s="0" t="s">
        <v>82</v>
      </c>
      <c r="Z85" s="0" t="s">
        <v>50</v>
      </c>
      <c r="AA85" s="0" t="s">
        <v>50</v>
      </c>
      <c r="AB85" s="0" t="s">
        <v>50</v>
      </c>
      <c r="AC85" s="0" t="s">
        <v>53</v>
      </c>
      <c r="AD85" s="0" t="s">
        <v>54</v>
      </c>
      <c r="AE85" s="0" t="s">
        <v>50</v>
      </c>
      <c r="AF85" s="0" t="s">
        <v>718</v>
      </c>
      <c r="AG85" s="0" t="s">
        <v>719</v>
      </c>
      <c r="AH85" s="0" t="s">
        <v>50</v>
      </c>
      <c r="AI85" s="0" t="s">
        <v>50</v>
      </c>
      <c r="AJ85" s="0" t="s">
        <v>50</v>
      </c>
      <c r="AK85" s="0" t="s">
        <v>50</v>
      </c>
      <c r="AL85" s="0" t="s">
        <v>50</v>
      </c>
    </row>
    <row r="86" customFormat="false" ht="13.8" hidden="false" customHeight="false" outlineLevel="0" collapsed="false">
      <c r="B86" s="0" t="str">
        <f aca="false">HYPERLINK("https://genome.ucsc.edu/cgi-bin/hgTracks?db=hg19&amp;position=chr1%3A217955801%2D217955801", "chr1:217955801")</f>
        <v>chr1:217955801</v>
      </c>
      <c r="C86" s="0" t="s">
        <v>126</v>
      </c>
      <c r="D86" s="0" t="n">
        <v>217955801</v>
      </c>
      <c r="E86" s="0" t="n">
        <v>217955801</v>
      </c>
      <c r="F86" s="0" t="s">
        <v>75</v>
      </c>
      <c r="G86" s="0" t="s">
        <v>74</v>
      </c>
      <c r="H86" s="0" t="s">
        <v>720</v>
      </c>
      <c r="I86" s="0" t="s">
        <v>721</v>
      </c>
      <c r="J86" s="0" t="s">
        <v>722</v>
      </c>
      <c r="K86" s="0" t="s">
        <v>50</v>
      </c>
      <c r="L86" s="0" t="s">
        <v>50</v>
      </c>
      <c r="M86" s="0" t="str">
        <f aca="false">HYPERLINK("https://www.genecards.org/Search/Keyword?queryString=%5Baliases%5D(%20SPATA17%20)%20OR%20%5Baliases%5D(%20SPATA17-AS1%20)&amp;keywords=SPATA17,SPATA17-AS1", "SPATA17;SPATA17-AS1")</f>
        <v>SPATA17;SPATA17-AS1</v>
      </c>
      <c r="N86" s="0" t="s">
        <v>347</v>
      </c>
      <c r="O86" s="0" t="s">
        <v>50</v>
      </c>
      <c r="P86" s="0" t="s">
        <v>50</v>
      </c>
      <c r="Q86" s="0" t="n">
        <v>-1</v>
      </c>
      <c r="R86" s="0" t="n">
        <v>-1</v>
      </c>
      <c r="S86" s="0" t="n">
        <v>-1</v>
      </c>
      <c r="T86" s="0" t="n">
        <v>-1</v>
      </c>
      <c r="U86" s="0" t="n">
        <v>-1</v>
      </c>
      <c r="V86" s="0" t="s">
        <v>50</v>
      </c>
      <c r="W86" s="0" t="s">
        <v>50</v>
      </c>
      <c r="X86" s="0" t="s">
        <v>49</v>
      </c>
      <c r="Y86" s="0" t="s">
        <v>82</v>
      </c>
      <c r="Z86" s="0" t="s">
        <v>50</v>
      </c>
      <c r="AA86" s="0" t="s">
        <v>50</v>
      </c>
      <c r="AB86" s="0" t="s">
        <v>50</v>
      </c>
      <c r="AC86" s="0" t="s">
        <v>53</v>
      </c>
      <c r="AD86" s="0" t="s">
        <v>157</v>
      </c>
      <c r="AE86" s="0" t="s">
        <v>723</v>
      </c>
      <c r="AF86" s="0" t="s">
        <v>724</v>
      </c>
      <c r="AG86" s="0" t="s">
        <v>50</v>
      </c>
      <c r="AH86" s="0" t="s">
        <v>50</v>
      </c>
      <c r="AI86" s="0" t="s">
        <v>50</v>
      </c>
      <c r="AJ86" s="0" t="s">
        <v>50</v>
      </c>
      <c r="AK86" s="0" t="s">
        <v>50</v>
      </c>
      <c r="AL86" s="0" t="s">
        <v>50</v>
      </c>
    </row>
    <row r="87" customFormat="false" ht="13.8" hidden="false" customHeight="false" outlineLevel="0" collapsed="false">
      <c r="B87" s="0" t="str">
        <f aca="false">HYPERLINK("https://genome.ucsc.edu/cgi-bin/hgTracks?db=hg19&amp;position=chr1%3A220800162%2D220800163", "chr1:220800162")</f>
        <v>chr1:220800162</v>
      </c>
      <c r="C87" s="0" t="s">
        <v>126</v>
      </c>
      <c r="D87" s="0" t="n">
        <v>220800162</v>
      </c>
      <c r="E87" s="0" t="n">
        <v>220800163</v>
      </c>
      <c r="F87" s="0" t="s">
        <v>725</v>
      </c>
      <c r="G87" s="0" t="s">
        <v>308</v>
      </c>
      <c r="H87" s="0" t="s">
        <v>726</v>
      </c>
      <c r="I87" s="0" t="s">
        <v>727</v>
      </c>
      <c r="J87" s="0" t="s">
        <v>728</v>
      </c>
      <c r="K87" s="0" t="s">
        <v>50</v>
      </c>
      <c r="L87" s="0" t="s">
        <v>50</v>
      </c>
      <c r="M87" s="0" t="str">
        <f aca="false">HYPERLINK("https://www.genecards.org/Search/Keyword?queryString=%5Baliases%5D(%20MARK1%20)&amp;keywords=MARK1", "MARK1")</f>
        <v>MARK1</v>
      </c>
      <c r="N87" s="0" t="s">
        <v>347</v>
      </c>
      <c r="O87" s="0" t="s">
        <v>50</v>
      </c>
      <c r="P87" s="0" t="s">
        <v>50</v>
      </c>
      <c r="Q87" s="0" t="n">
        <v>0.0139</v>
      </c>
      <c r="R87" s="0" t="n">
        <v>0.0059</v>
      </c>
      <c r="S87" s="0" t="n">
        <v>0.0074</v>
      </c>
      <c r="T87" s="0" t="n">
        <v>-1</v>
      </c>
      <c r="U87" s="0" t="n">
        <v>0.0263</v>
      </c>
      <c r="V87" s="0" t="s">
        <v>50</v>
      </c>
      <c r="W87" s="0" t="s">
        <v>50</v>
      </c>
      <c r="X87" s="0" t="s">
        <v>50</v>
      </c>
      <c r="Y87" s="0" t="s">
        <v>50</v>
      </c>
      <c r="Z87" s="0" t="s">
        <v>50</v>
      </c>
      <c r="AA87" s="0" t="s">
        <v>50</v>
      </c>
      <c r="AB87" s="0" t="s">
        <v>50</v>
      </c>
      <c r="AC87" s="0" t="s">
        <v>53</v>
      </c>
      <c r="AD87" s="0" t="s">
        <v>54</v>
      </c>
      <c r="AE87" s="0" t="s">
        <v>729</v>
      </c>
      <c r="AF87" s="0" t="s">
        <v>730</v>
      </c>
      <c r="AG87" s="0" t="s">
        <v>731</v>
      </c>
      <c r="AH87" s="0" t="s">
        <v>732</v>
      </c>
      <c r="AI87" s="0" t="s">
        <v>50</v>
      </c>
      <c r="AJ87" s="0" t="s">
        <v>50</v>
      </c>
      <c r="AK87" s="0" t="s">
        <v>50</v>
      </c>
      <c r="AL87" s="0" t="s">
        <v>50</v>
      </c>
    </row>
    <row r="88" customFormat="false" ht="13.8" hidden="false" customHeight="false" outlineLevel="0" collapsed="false">
      <c r="B88" s="0" t="str">
        <f aca="false">HYPERLINK("https://genome.ucsc.edu/cgi-bin/hgTracks?db=hg19&amp;position=chr10%3A13642378%2D13642378", "chr10:13642378")</f>
        <v>chr10:13642378</v>
      </c>
      <c r="C88" s="0" t="s">
        <v>409</v>
      </c>
      <c r="D88" s="0" t="n">
        <v>13642378</v>
      </c>
      <c r="E88" s="0" t="n">
        <v>13642378</v>
      </c>
      <c r="F88" s="0" t="s">
        <v>75</v>
      </c>
      <c r="G88" s="0" t="s">
        <v>74</v>
      </c>
      <c r="H88" s="0" t="s">
        <v>733</v>
      </c>
      <c r="I88" s="0" t="s">
        <v>374</v>
      </c>
      <c r="J88" s="0" t="s">
        <v>375</v>
      </c>
      <c r="K88" s="0" t="s">
        <v>50</v>
      </c>
      <c r="L88" s="0" t="str">
        <f aca="false">HYPERLINK("https://www.ncbi.nlm.nih.gov/snp/rs41291327", "rs41291327")</f>
        <v>rs41291327</v>
      </c>
      <c r="M88" s="0" t="str">
        <f aca="false">HYPERLINK("https://www.genecards.org/Search/Keyword?queryString=%5Baliases%5D(%20PRPF18%20)&amp;keywords=PRPF18", "PRPF18")</f>
        <v>PRPF18</v>
      </c>
      <c r="N88" s="0" t="s">
        <v>80</v>
      </c>
      <c r="O88" s="0" t="s">
        <v>50</v>
      </c>
      <c r="P88" s="0" t="s">
        <v>50</v>
      </c>
      <c r="Q88" s="0" t="n">
        <v>0.014</v>
      </c>
      <c r="R88" s="0" t="n">
        <v>0.0146</v>
      </c>
      <c r="S88" s="0" t="n">
        <v>0.0143</v>
      </c>
      <c r="T88" s="0" t="n">
        <v>-1</v>
      </c>
      <c r="U88" s="0" t="n">
        <v>0.0165</v>
      </c>
      <c r="V88" s="0" t="s">
        <v>50</v>
      </c>
      <c r="W88" s="0" t="s">
        <v>50</v>
      </c>
      <c r="X88" s="0" t="s">
        <v>81</v>
      </c>
      <c r="Y88" s="0" t="s">
        <v>82</v>
      </c>
      <c r="Z88" s="0" t="s">
        <v>50</v>
      </c>
      <c r="AA88" s="0" t="s">
        <v>50</v>
      </c>
      <c r="AB88" s="0" t="s">
        <v>50</v>
      </c>
      <c r="AC88" s="0" t="s">
        <v>53</v>
      </c>
      <c r="AD88" s="0" t="s">
        <v>54</v>
      </c>
      <c r="AE88" s="0" t="s">
        <v>734</v>
      </c>
      <c r="AF88" s="0" t="s">
        <v>735</v>
      </c>
      <c r="AG88" s="0" t="s">
        <v>736</v>
      </c>
      <c r="AH88" s="0" t="s">
        <v>50</v>
      </c>
      <c r="AI88" s="0" t="s">
        <v>50</v>
      </c>
      <c r="AJ88" s="0" t="s">
        <v>50</v>
      </c>
      <c r="AK88" s="0" t="s">
        <v>50</v>
      </c>
      <c r="AL88" s="0" t="s">
        <v>50</v>
      </c>
    </row>
    <row r="89" customFormat="false" ht="13.8" hidden="false" customHeight="false" outlineLevel="0" collapsed="false">
      <c r="B89" s="0" t="str">
        <f aca="false">HYPERLINK("https://genome.ucsc.edu/cgi-bin/hgTracks?db=hg19&amp;position=chr10%3A18828671%2D18828671", "chr10:18828671")</f>
        <v>chr10:18828671</v>
      </c>
      <c r="C89" s="0" t="s">
        <v>409</v>
      </c>
      <c r="D89" s="0" t="n">
        <v>18828671</v>
      </c>
      <c r="E89" s="0" t="n">
        <v>18828671</v>
      </c>
      <c r="F89" s="0" t="s">
        <v>40</v>
      </c>
      <c r="G89" s="0" t="s">
        <v>308</v>
      </c>
      <c r="H89" s="0" t="s">
        <v>737</v>
      </c>
      <c r="I89" s="0" t="s">
        <v>531</v>
      </c>
      <c r="J89" s="0" t="s">
        <v>738</v>
      </c>
      <c r="K89" s="0" t="s">
        <v>50</v>
      </c>
      <c r="L89" s="0" t="s">
        <v>50</v>
      </c>
      <c r="M89" s="0" t="str">
        <f aca="false">HYPERLINK("https://www.genecards.org/Search/Keyword?queryString=%5Baliases%5D(%20CACNB2%20)%20OR%20%5Baliases%5D(%20U80764%20)&amp;keywords=CACNB2,U80764", "CACNB2;U80764")</f>
        <v>CACNB2;U80764</v>
      </c>
      <c r="N89" s="0" t="s">
        <v>282</v>
      </c>
      <c r="O89" s="0" t="s">
        <v>50</v>
      </c>
      <c r="P89" s="0" t="s">
        <v>739</v>
      </c>
      <c r="Q89" s="0" t="n">
        <v>-1</v>
      </c>
      <c r="R89" s="0" t="n">
        <v>-1</v>
      </c>
      <c r="S89" s="0" t="n">
        <v>-1</v>
      </c>
      <c r="T89" s="0" t="n">
        <v>-1</v>
      </c>
      <c r="U89" s="0" t="n">
        <v>-1</v>
      </c>
      <c r="V89" s="0" t="s">
        <v>50</v>
      </c>
      <c r="W89" s="0" t="s">
        <v>50</v>
      </c>
      <c r="X89" s="0" t="s">
        <v>50</v>
      </c>
      <c r="Y89" s="0" t="s">
        <v>50</v>
      </c>
      <c r="Z89" s="0" t="s">
        <v>50</v>
      </c>
      <c r="AA89" s="0" t="s">
        <v>50</v>
      </c>
      <c r="AB89" s="0" t="s">
        <v>50</v>
      </c>
      <c r="AC89" s="0" t="s">
        <v>455</v>
      </c>
      <c r="AD89" s="0" t="s">
        <v>157</v>
      </c>
      <c r="AE89" s="0" t="s">
        <v>740</v>
      </c>
      <c r="AF89" s="0" t="s">
        <v>741</v>
      </c>
      <c r="AG89" s="0" t="s">
        <v>742</v>
      </c>
      <c r="AH89" s="0" t="s">
        <v>743</v>
      </c>
      <c r="AI89" s="0" t="s">
        <v>50</v>
      </c>
      <c r="AJ89" s="0" t="s">
        <v>50</v>
      </c>
      <c r="AK89" s="0" t="s">
        <v>50</v>
      </c>
      <c r="AL89" s="0" t="s">
        <v>50</v>
      </c>
    </row>
    <row r="90" customFormat="false" ht="13.8" hidden="false" customHeight="false" outlineLevel="0" collapsed="false">
      <c r="B90" s="0" t="str">
        <f aca="false">HYPERLINK("https://genome.ucsc.edu/cgi-bin/hgTracks?db=hg19&amp;position=chr10%3A23622311%2D23622311", "chr10:23622311")</f>
        <v>chr10:23622311</v>
      </c>
      <c r="C90" s="0" t="s">
        <v>409</v>
      </c>
      <c r="D90" s="0" t="n">
        <v>23622311</v>
      </c>
      <c r="E90" s="0" t="n">
        <v>23622311</v>
      </c>
      <c r="F90" s="0" t="s">
        <v>75</v>
      </c>
      <c r="G90" s="0" t="s">
        <v>39</v>
      </c>
      <c r="H90" s="0" t="s">
        <v>744</v>
      </c>
      <c r="I90" s="0" t="s">
        <v>721</v>
      </c>
      <c r="J90" s="0" t="s">
        <v>745</v>
      </c>
      <c r="K90" s="0" t="s">
        <v>50</v>
      </c>
      <c r="L90" s="0" t="str">
        <f aca="false">HYPERLINK("https://www.ncbi.nlm.nih.gov/snp/rs552735256", "rs552735256")</f>
        <v>rs552735256</v>
      </c>
      <c r="M90" s="0" t="str">
        <f aca="false">HYPERLINK("https://www.genecards.org/Search/Keyword?queryString=%5Baliases%5D(%20C10orf67%20)&amp;keywords=C10orf67", "C10orf67")</f>
        <v>C10orf67</v>
      </c>
      <c r="N90" s="0" t="s">
        <v>80</v>
      </c>
      <c r="O90" s="0" t="s">
        <v>50</v>
      </c>
      <c r="P90" s="0" t="s">
        <v>50</v>
      </c>
      <c r="Q90" s="0" t="n">
        <v>0.0037</v>
      </c>
      <c r="R90" s="0" t="n">
        <v>0.0028</v>
      </c>
      <c r="S90" s="0" t="n">
        <v>0.0028</v>
      </c>
      <c r="T90" s="0" t="n">
        <v>-1</v>
      </c>
      <c r="U90" s="0" t="n">
        <v>0.0031</v>
      </c>
      <c r="V90" s="0" t="s">
        <v>50</v>
      </c>
      <c r="W90" s="0" t="s">
        <v>50</v>
      </c>
      <c r="X90" s="0" t="s">
        <v>81</v>
      </c>
      <c r="Y90" s="0" t="s">
        <v>82</v>
      </c>
      <c r="Z90" s="0" t="s">
        <v>50</v>
      </c>
      <c r="AA90" s="0" t="s">
        <v>50</v>
      </c>
      <c r="AB90" s="0" t="s">
        <v>50</v>
      </c>
      <c r="AC90" s="0" t="s">
        <v>53</v>
      </c>
      <c r="AD90" s="0" t="s">
        <v>54</v>
      </c>
      <c r="AE90" s="0" t="s">
        <v>746</v>
      </c>
      <c r="AF90" s="0" t="s">
        <v>747</v>
      </c>
      <c r="AG90" s="0" t="s">
        <v>50</v>
      </c>
      <c r="AH90" s="0" t="s">
        <v>50</v>
      </c>
      <c r="AI90" s="0" t="s">
        <v>50</v>
      </c>
      <c r="AJ90" s="0" t="s">
        <v>50</v>
      </c>
      <c r="AK90" s="0" t="s">
        <v>50</v>
      </c>
      <c r="AL90" s="0" t="s">
        <v>50</v>
      </c>
    </row>
    <row r="91" customFormat="false" ht="13.8" hidden="false" customHeight="false" outlineLevel="0" collapsed="false">
      <c r="B91" s="0" t="str">
        <f aca="false">HYPERLINK("https://genome.ucsc.edu/cgi-bin/hgTracks?db=hg19&amp;position=chr10%3A27335585%2D27335585", "chr10:27335585")</f>
        <v>chr10:27335585</v>
      </c>
      <c r="C91" s="0" t="s">
        <v>409</v>
      </c>
      <c r="D91" s="0" t="n">
        <v>27335585</v>
      </c>
      <c r="E91" s="0" t="n">
        <v>27335585</v>
      </c>
      <c r="F91" s="0" t="s">
        <v>75</v>
      </c>
      <c r="G91" s="0" t="s">
        <v>40</v>
      </c>
      <c r="H91" s="0" t="s">
        <v>748</v>
      </c>
      <c r="I91" s="0" t="s">
        <v>749</v>
      </c>
      <c r="J91" s="0" t="s">
        <v>750</v>
      </c>
      <c r="K91" s="0" t="s">
        <v>50</v>
      </c>
      <c r="L91" s="0" t="s">
        <v>50</v>
      </c>
      <c r="M91" s="0" t="str">
        <f aca="false">HYPERLINK("https://www.genecards.org/Search/Keyword?queryString=%5Baliases%5D(%20ANKRD26%20)&amp;keywords=ANKRD26", "ANKRD26")</f>
        <v>ANKRD26</v>
      </c>
      <c r="N91" s="0" t="s">
        <v>80</v>
      </c>
      <c r="O91" s="0" t="s">
        <v>50</v>
      </c>
      <c r="P91" s="0" t="s">
        <v>50</v>
      </c>
      <c r="Q91" s="0" t="n">
        <v>-1</v>
      </c>
      <c r="R91" s="0" t="n">
        <v>-1</v>
      </c>
      <c r="S91" s="0" t="n">
        <v>-1</v>
      </c>
      <c r="T91" s="0" t="n">
        <v>-1</v>
      </c>
      <c r="U91" s="0" t="n">
        <v>-1</v>
      </c>
      <c r="V91" s="0" t="s">
        <v>50</v>
      </c>
      <c r="W91" s="0" t="s">
        <v>50</v>
      </c>
      <c r="X91" s="0" t="s">
        <v>49</v>
      </c>
      <c r="Y91" s="0" t="s">
        <v>82</v>
      </c>
      <c r="Z91" s="0" t="s">
        <v>50</v>
      </c>
      <c r="AA91" s="0" t="s">
        <v>50</v>
      </c>
      <c r="AB91" s="0" t="s">
        <v>50</v>
      </c>
      <c r="AC91" s="0" t="s">
        <v>53</v>
      </c>
      <c r="AD91" s="0" t="s">
        <v>54</v>
      </c>
      <c r="AE91" s="0" t="s">
        <v>751</v>
      </c>
      <c r="AF91" s="0" t="s">
        <v>752</v>
      </c>
      <c r="AG91" s="0" t="s">
        <v>50</v>
      </c>
      <c r="AH91" s="0" t="s">
        <v>50</v>
      </c>
      <c r="AI91" s="0" t="s">
        <v>50</v>
      </c>
      <c r="AJ91" s="0" t="s">
        <v>50</v>
      </c>
      <c r="AK91" s="0" t="s">
        <v>50</v>
      </c>
      <c r="AL91" s="0" t="s">
        <v>50</v>
      </c>
    </row>
    <row r="92" customFormat="false" ht="13.8" hidden="false" customHeight="false" outlineLevel="0" collapsed="false">
      <c r="B92" s="0" t="str">
        <f aca="false">HYPERLINK("https://genome.ucsc.edu/cgi-bin/hgTracks?db=hg19&amp;position=chr10%3A31650028%2D31650028", "chr10:31650028")</f>
        <v>chr10:31650028</v>
      </c>
      <c r="C92" s="0" t="s">
        <v>409</v>
      </c>
      <c r="D92" s="0" t="n">
        <v>31650028</v>
      </c>
      <c r="E92" s="0" t="n">
        <v>31650028</v>
      </c>
      <c r="F92" s="0" t="s">
        <v>39</v>
      </c>
      <c r="G92" s="0" t="s">
        <v>75</v>
      </c>
      <c r="H92" s="0" t="s">
        <v>753</v>
      </c>
      <c r="I92" s="0" t="s">
        <v>754</v>
      </c>
      <c r="J92" s="0" t="s">
        <v>755</v>
      </c>
      <c r="K92" s="0" t="s">
        <v>50</v>
      </c>
      <c r="L92" s="0" t="str">
        <f aca="false">HYPERLINK("https://www.ncbi.nlm.nih.gov/snp/rs61846169", "rs61846169")</f>
        <v>rs61846169</v>
      </c>
      <c r="M92" s="0" t="str">
        <f aca="false">HYPERLINK("https://www.genecards.org/Search/Keyword?queryString=%5Baliases%5D(%20ZEB1%20)&amp;keywords=ZEB1", "ZEB1")</f>
        <v>ZEB1</v>
      </c>
      <c r="N92" s="0" t="s">
        <v>390</v>
      </c>
      <c r="O92" s="0" t="s">
        <v>50</v>
      </c>
      <c r="P92" s="0" t="s">
        <v>50</v>
      </c>
      <c r="Q92" s="0" t="n">
        <v>0.017</v>
      </c>
      <c r="R92" s="0" t="n">
        <v>0.0014</v>
      </c>
      <c r="S92" s="0" t="n">
        <v>0.0012</v>
      </c>
      <c r="T92" s="0" t="n">
        <v>-1</v>
      </c>
      <c r="U92" s="0" t="n">
        <v>0.0016</v>
      </c>
      <c r="V92" s="0" t="s">
        <v>50</v>
      </c>
      <c r="W92" s="0" t="s">
        <v>50</v>
      </c>
      <c r="X92" s="0" t="s">
        <v>50</v>
      </c>
      <c r="Y92" s="0" t="s">
        <v>50</v>
      </c>
      <c r="Z92" s="0" t="s">
        <v>50</v>
      </c>
      <c r="AA92" s="0" t="s">
        <v>50</v>
      </c>
      <c r="AB92" s="0" t="s">
        <v>50</v>
      </c>
      <c r="AC92" s="0" t="s">
        <v>53</v>
      </c>
      <c r="AD92" s="0" t="s">
        <v>226</v>
      </c>
      <c r="AE92" s="0" t="s">
        <v>756</v>
      </c>
      <c r="AF92" s="0" t="s">
        <v>757</v>
      </c>
      <c r="AG92" s="0" t="s">
        <v>758</v>
      </c>
      <c r="AH92" s="0" t="s">
        <v>759</v>
      </c>
      <c r="AI92" s="0" t="s">
        <v>50</v>
      </c>
      <c r="AJ92" s="0" t="s">
        <v>50</v>
      </c>
      <c r="AK92" s="0" t="s">
        <v>50</v>
      </c>
      <c r="AL92" s="0" t="s">
        <v>50</v>
      </c>
    </row>
    <row r="93" customFormat="false" ht="13.8" hidden="false" customHeight="false" outlineLevel="0" collapsed="false">
      <c r="B93" s="0" t="str">
        <f aca="false">HYPERLINK("https://genome.ucsc.edu/cgi-bin/hgTracks?db=hg19&amp;position=chr10%3A31650036%2D31650036", "chr10:31650036")</f>
        <v>chr10:31650036</v>
      </c>
      <c r="C93" s="0" t="s">
        <v>409</v>
      </c>
      <c r="D93" s="0" t="n">
        <v>31650036</v>
      </c>
      <c r="E93" s="0" t="n">
        <v>31650036</v>
      </c>
      <c r="F93" s="0" t="s">
        <v>40</v>
      </c>
      <c r="G93" s="0" t="s">
        <v>39</v>
      </c>
      <c r="H93" s="0" t="s">
        <v>760</v>
      </c>
      <c r="I93" s="0" t="s">
        <v>761</v>
      </c>
      <c r="J93" s="0" t="s">
        <v>762</v>
      </c>
      <c r="K93" s="0" t="s">
        <v>50</v>
      </c>
      <c r="L93" s="0" t="str">
        <f aca="false">HYPERLINK("https://www.ncbi.nlm.nih.gov/snp/rs61846170", "rs61846170")</f>
        <v>rs61846170</v>
      </c>
      <c r="M93" s="0" t="str">
        <f aca="false">HYPERLINK("https://www.genecards.org/Search/Keyword?queryString=%5Baliases%5D(%20ZEB1%20)&amp;keywords=ZEB1", "ZEB1")</f>
        <v>ZEB1</v>
      </c>
      <c r="N93" s="0" t="s">
        <v>390</v>
      </c>
      <c r="O93" s="0" t="s">
        <v>50</v>
      </c>
      <c r="P93" s="0" t="s">
        <v>50</v>
      </c>
      <c r="Q93" s="0" t="n">
        <v>0.0168</v>
      </c>
      <c r="R93" s="0" t="n">
        <v>0.0014</v>
      </c>
      <c r="S93" s="0" t="n">
        <v>0.002</v>
      </c>
      <c r="T93" s="0" t="n">
        <v>-1</v>
      </c>
      <c r="U93" s="0" t="n">
        <v>0.005</v>
      </c>
      <c r="V93" s="0" t="s">
        <v>50</v>
      </c>
      <c r="W93" s="0" t="s">
        <v>50</v>
      </c>
      <c r="X93" s="0" t="s">
        <v>50</v>
      </c>
      <c r="Y93" s="0" t="s">
        <v>50</v>
      </c>
      <c r="Z93" s="0" t="s">
        <v>50</v>
      </c>
      <c r="AA93" s="0" t="s">
        <v>50</v>
      </c>
      <c r="AB93" s="0" t="s">
        <v>50</v>
      </c>
      <c r="AC93" s="0" t="s">
        <v>53</v>
      </c>
      <c r="AD93" s="0" t="s">
        <v>226</v>
      </c>
      <c r="AE93" s="0" t="s">
        <v>756</v>
      </c>
      <c r="AF93" s="0" t="s">
        <v>757</v>
      </c>
      <c r="AG93" s="0" t="s">
        <v>758</v>
      </c>
      <c r="AH93" s="0" t="s">
        <v>759</v>
      </c>
      <c r="AI93" s="0" t="s">
        <v>50</v>
      </c>
      <c r="AJ93" s="0" t="s">
        <v>50</v>
      </c>
      <c r="AK93" s="0" t="s">
        <v>50</v>
      </c>
      <c r="AL93" s="0" t="s">
        <v>50</v>
      </c>
    </row>
    <row r="94" customFormat="false" ht="13.8" hidden="false" customHeight="false" outlineLevel="0" collapsed="false">
      <c r="B94" s="0" t="str">
        <f aca="false">HYPERLINK("https://genome.ucsc.edu/cgi-bin/hgTracks?db=hg19&amp;position=chr10%3A54040478%2D54040478", "chr10:54040478")</f>
        <v>chr10:54040478</v>
      </c>
      <c r="C94" s="0" t="s">
        <v>409</v>
      </c>
      <c r="D94" s="0" t="n">
        <v>54040478</v>
      </c>
      <c r="E94" s="0" t="n">
        <v>54040478</v>
      </c>
      <c r="F94" s="0" t="s">
        <v>308</v>
      </c>
      <c r="G94" s="0" t="s">
        <v>75</v>
      </c>
      <c r="H94" s="0" t="s">
        <v>763</v>
      </c>
      <c r="I94" s="0" t="s">
        <v>201</v>
      </c>
      <c r="J94" s="0" t="s">
        <v>764</v>
      </c>
      <c r="K94" s="0" t="s">
        <v>50</v>
      </c>
      <c r="L94" s="0" t="str">
        <f aca="false">HYPERLINK("https://www.ncbi.nlm.nih.gov/snp/rs879867084", "rs879867084")</f>
        <v>rs879867084</v>
      </c>
      <c r="M94" s="0" t="str">
        <f aca="false">HYPERLINK("https://www.genecards.org/Search/Keyword?queryString=%5Baliases%5D(%20BC039504%20)%20OR%20%5Baliases%5D(%20PRKG1%20)&amp;keywords=BC039504,PRKG1", "BC039504;PRKG1")</f>
        <v>BC039504;PRKG1</v>
      </c>
      <c r="N94" s="0" t="s">
        <v>347</v>
      </c>
      <c r="O94" s="0" t="s">
        <v>50</v>
      </c>
      <c r="P94" s="0" t="s">
        <v>50</v>
      </c>
      <c r="Q94" s="0" t="n">
        <v>0.001712</v>
      </c>
      <c r="R94" s="0" t="n">
        <v>0.0014</v>
      </c>
      <c r="S94" s="0" t="n">
        <v>0.0022</v>
      </c>
      <c r="T94" s="0" t="n">
        <v>-1</v>
      </c>
      <c r="U94" s="0" t="n">
        <v>0.0017</v>
      </c>
      <c r="V94" s="0" t="s">
        <v>50</v>
      </c>
      <c r="W94" s="0" t="s">
        <v>50</v>
      </c>
      <c r="X94" s="0" t="s">
        <v>50</v>
      </c>
      <c r="Y94" s="0" t="s">
        <v>50</v>
      </c>
      <c r="Z94" s="0" t="s">
        <v>50</v>
      </c>
      <c r="AA94" s="0" t="s">
        <v>50</v>
      </c>
      <c r="AB94" s="0" t="s">
        <v>50</v>
      </c>
      <c r="AC94" s="0" t="s">
        <v>53</v>
      </c>
      <c r="AD94" s="0" t="s">
        <v>157</v>
      </c>
      <c r="AE94" s="0" t="s">
        <v>765</v>
      </c>
      <c r="AF94" s="0" t="s">
        <v>766</v>
      </c>
      <c r="AG94" s="0" t="s">
        <v>767</v>
      </c>
      <c r="AH94" s="0" t="s">
        <v>768</v>
      </c>
      <c r="AI94" s="0" t="s">
        <v>50</v>
      </c>
      <c r="AJ94" s="0" t="s">
        <v>50</v>
      </c>
      <c r="AK94" s="0" t="s">
        <v>50</v>
      </c>
      <c r="AL94" s="0" t="s">
        <v>50</v>
      </c>
    </row>
    <row r="95" customFormat="false" ht="13.8" hidden="false" customHeight="false" outlineLevel="0" collapsed="false">
      <c r="B95" s="0" t="str">
        <f aca="false">HYPERLINK("https://genome.ucsc.edu/cgi-bin/hgTracks?db=hg19&amp;position=chr10%3A64022582%2D64022582", "chr10:64022582")</f>
        <v>chr10:64022582</v>
      </c>
      <c r="C95" s="0" t="s">
        <v>409</v>
      </c>
      <c r="D95" s="0" t="n">
        <v>64022582</v>
      </c>
      <c r="E95" s="0" t="n">
        <v>64022582</v>
      </c>
      <c r="F95" s="0" t="s">
        <v>308</v>
      </c>
      <c r="G95" s="0" t="s">
        <v>75</v>
      </c>
      <c r="H95" s="0" t="s">
        <v>769</v>
      </c>
      <c r="I95" s="0" t="s">
        <v>621</v>
      </c>
      <c r="J95" s="0" t="s">
        <v>770</v>
      </c>
      <c r="K95" s="0" t="s">
        <v>50</v>
      </c>
      <c r="L95" s="0" t="str">
        <f aca="false">HYPERLINK("https://www.ncbi.nlm.nih.gov/snp/rs750319818", "rs750319818")</f>
        <v>rs750319818</v>
      </c>
      <c r="M95" s="0" t="str">
        <f aca="false">HYPERLINK("https://www.genecards.org/Search/Keyword?queryString=%5Baliases%5D(%20RTKN2%20)&amp;keywords=RTKN2", "RTKN2")</f>
        <v>RTKN2</v>
      </c>
      <c r="N95" s="0" t="s">
        <v>64</v>
      </c>
      <c r="O95" s="0" t="s">
        <v>50</v>
      </c>
      <c r="P95" s="0" t="s">
        <v>771</v>
      </c>
      <c r="Q95" s="0" t="n">
        <v>0.0064</v>
      </c>
      <c r="R95" s="0" t="n">
        <v>0.0002</v>
      </c>
      <c r="S95" s="0" t="n">
        <v>0.0021</v>
      </c>
      <c r="T95" s="0" t="n">
        <v>-1</v>
      </c>
      <c r="U95" s="0" t="n">
        <v>0.0058</v>
      </c>
      <c r="V95" s="0" t="s">
        <v>50</v>
      </c>
      <c r="W95" s="0" t="s">
        <v>50</v>
      </c>
      <c r="X95" s="0" t="s">
        <v>50</v>
      </c>
      <c r="Y95" s="0" t="s">
        <v>50</v>
      </c>
      <c r="Z95" s="0" t="s">
        <v>50</v>
      </c>
      <c r="AA95" s="0" t="s">
        <v>50</v>
      </c>
      <c r="AB95" s="0" t="s">
        <v>50</v>
      </c>
      <c r="AC95" s="0" t="s">
        <v>53</v>
      </c>
      <c r="AD95" s="0" t="s">
        <v>54</v>
      </c>
      <c r="AE95" s="0" t="s">
        <v>772</v>
      </c>
      <c r="AF95" s="0" t="s">
        <v>773</v>
      </c>
      <c r="AG95" s="0" t="s">
        <v>774</v>
      </c>
      <c r="AH95" s="0" t="s">
        <v>50</v>
      </c>
      <c r="AI95" s="0" t="s">
        <v>50</v>
      </c>
      <c r="AJ95" s="0" t="s">
        <v>50</v>
      </c>
      <c r="AK95" s="0" t="s">
        <v>50</v>
      </c>
      <c r="AL95" s="0" t="s">
        <v>50</v>
      </c>
    </row>
    <row r="96" s="4" customFormat="true" ht="13.8" hidden="false" customHeight="false" outlineLevel="0" collapsed="false">
      <c r="B96" s="4" t="str">
        <f aca="false">HYPERLINK("https://genome.ucsc.edu/cgi-bin/hgTracks?db=hg19&amp;position=chr10%3A122640168%2D122640168", "chr10:122640168")</f>
        <v>chr10:122640168</v>
      </c>
      <c r="C96" s="4" t="s">
        <v>409</v>
      </c>
      <c r="D96" s="4" t="n">
        <v>122640168</v>
      </c>
      <c r="E96" s="4" t="n">
        <v>122640168</v>
      </c>
      <c r="F96" s="4" t="s">
        <v>308</v>
      </c>
      <c r="G96" s="4" t="s">
        <v>725</v>
      </c>
      <c r="H96" s="4" t="s">
        <v>775</v>
      </c>
      <c r="I96" s="4" t="s">
        <v>776</v>
      </c>
      <c r="J96" s="4" t="s">
        <v>777</v>
      </c>
      <c r="K96" s="4" t="s">
        <v>50</v>
      </c>
      <c r="L96" s="4" t="s">
        <v>50</v>
      </c>
      <c r="M96" s="4" t="str">
        <f aca="false">HYPERLINK("https://www.genecards.org/Search/Keyword?queryString=%5Baliases%5D(%20WDR11%20)&amp;keywords=WDR11", "WDR11")</f>
        <v>WDR11</v>
      </c>
      <c r="N96" s="4" t="s">
        <v>390</v>
      </c>
      <c r="O96" s="4" t="s">
        <v>50</v>
      </c>
      <c r="P96" s="4" t="s">
        <v>50</v>
      </c>
      <c r="Q96" s="4" t="n">
        <v>0.0025</v>
      </c>
      <c r="R96" s="4" t="n">
        <v>0.0007</v>
      </c>
      <c r="S96" s="4" t="n">
        <v>0.0007</v>
      </c>
      <c r="T96" s="4" t="n">
        <v>-1</v>
      </c>
      <c r="U96" s="4" t="n">
        <v>0.0011</v>
      </c>
      <c r="V96" s="4" t="s">
        <v>50</v>
      </c>
      <c r="W96" s="4" t="s">
        <v>50</v>
      </c>
      <c r="X96" s="4" t="s">
        <v>50</v>
      </c>
      <c r="Y96" s="4" t="s">
        <v>50</v>
      </c>
      <c r="Z96" s="4" t="s">
        <v>50</v>
      </c>
      <c r="AA96" s="4" t="s">
        <v>50</v>
      </c>
      <c r="AB96" s="4" t="s">
        <v>50</v>
      </c>
      <c r="AC96" s="4" t="s">
        <v>455</v>
      </c>
      <c r="AD96" s="4" t="s">
        <v>54</v>
      </c>
      <c r="AE96" s="4" t="s">
        <v>778</v>
      </c>
      <c r="AF96" s="4" t="s">
        <v>779</v>
      </c>
      <c r="AG96" s="4" t="s">
        <v>50</v>
      </c>
      <c r="AH96" s="4" t="s">
        <v>780</v>
      </c>
      <c r="AI96" s="4" t="s">
        <v>50</v>
      </c>
      <c r="AJ96" s="4" t="s">
        <v>50</v>
      </c>
      <c r="AK96" s="4" t="s">
        <v>50</v>
      </c>
      <c r="AL96" s="4" t="s">
        <v>50</v>
      </c>
    </row>
    <row r="97" customFormat="false" ht="13.8" hidden="false" customHeight="false" outlineLevel="0" collapsed="false">
      <c r="B97" s="0" t="str">
        <f aca="false">HYPERLINK("https://genome.ucsc.edu/cgi-bin/hgTracks?db=hg19&amp;position=chr10%3A126691628%2D126691628", "chr10:126691628")</f>
        <v>chr10:126691628</v>
      </c>
      <c r="C97" s="0" t="s">
        <v>409</v>
      </c>
      <c r="D97" s="0" t="n">
        <v>126691628</v>
      </c>
      <c r="E97" s="0" t="n">
        <v>126691628</v>
      </c>
      <c r="F97" s="0" t="s">
        <v>74</v>
      </c>
      <c r="G97" s="0" t="s">
        <v>308</v>
      </c>
      <c r="H97" s="0" t="s">
        <v>781</v>
      </c>
      <c r="I97" s="0" t="s">
        <v>782</v>
      </c>
      <c r="J97" s="0" t="s">
        <v>783</v>
      </c>
      <c r="K97" s="0" t="s">
        <v>50</v>
      </c>
      <c r="L97" s="0" t="str">
        <f aca="false">HYPERLINK("https://www.ncbi.nlm.nih.gov/snp/rs796604157", "rs796604157")</f>
        <v>rs796604157</v>
      </c>
      <c r="M97" s="0" t="str">
        <f aca="false">HYPERLINK("https://www.genecards.org/Search/Keyword?queryString=%5Baliases%5D(%20CTBP2%20)&amp;keywords=CTBP2", "CTBP2")</f>
        <v>CTBP2</v>
      </c>
      <c r="N97" s="0" t="s">
        <v>92</v>
      </c>
      <c r="O97" s="0" t="s">
        <v>312</v>
      </c>
      <c r="P97" s="0" t="s">
        <v>784</v>
      </c>
      <c r="Q97" s="0" t="n">
        <v>-1</v>
      </c>
      <c r="R97" s="0" t="n">
        <v>-1</v>
      </c>
      <c r="S97" s="0" t="n">
        <v>-1</v>
      </c>
      <c r="T97" s="0" t="n">
        <v>-1</v>
      </c>
      <c r="U97" s="0" t="n">
        <v>-1</v>
      </c>
      <c r="V97" s="0" t="s">
        <v>50</v>
      </c>
      <c r="W97" s="0" t="s">
        <v>50</v>
      </c>
      <c r="X97" s="0" t="s">
        <v>50</v>
      </c>
      <c r="Y97" s="0" t="s">
        <v>50</v>
      </c>
      <c r="Z97" s="0" t="s">
        <v>50</v>
      </c>
      <c r="AA97" s="0" t="s">
        <v>50</v>
      </c>
      <c r="AB97" s="0" t="s">
        <v>50</v>
      </c>
      <c r="AC97" s="0" t="s">
        <v>53</v>
      </c>
      <c r="AD97" s="0" t="s">
        <v>302</v>
      </c>
      <c r="AE97" s="0" t="s">
        <v>414</v>
      </c>
      <c r="AF97" s="0" t="s">
        <v>415</v>
      </c>
      <c r="AG97" s="0" t="s">
        <v>416</v>
      </c>
      <c r="AH97" s="0" t="s">
        <v>50</v>
      </c>
      <c r="AI97" s="0" t="s">
        <v>50</v>
      </c>
      <c r="AJ97" s="0" t="s">
        <v>50</v>
      </c>
      <c r="AK97" s="0" t="s">
        <v>50</v>
      </c>
      <c r="AL97" s="0" t="s">
        <v>50</v>
      </c>
    </row>
    <row r="98" customFormat="false" ht="13.8" hidden="false" customHeight="false" outlineLevel="0" collapsed="false">
      <c r="B98" s="0" t="str">
        <f aca="false">HYPERLINK("https://genome.ucsc.edu/cgi-bin/hgTracks?db=hg19&amp;position=chr10%3A126691951%2D126691951", "chr10:126691951")</f>
        <v>chr10:126691951</v>
      </c>
      <c r="C98" s="0" t="s">
        <v>409</v>
      </c>
      <c r="D98" s="0" t="n">
        <v>126691951</v>
      </c>
      <c r="E98" s="0" t="n">
        <v>126691951</v>
      </c>
      <c r="F98" s="0" t="s">
        <v>39</v>
      </c>
      <c r="G98" s="0" t="s">
        <v>308</v>
      </c>
      <c r="H98" s="0" t="s">
        <v>785</v>
      </c>
      <c r="I98" s="0" t="s">
        <v>786</v>
      </c>
      <c r="J98" s="0" t="s">
        <v>787</v>
      </c>
      <c r="K98" s="0" t="s">
        <v>50</v>
      </c>
      <c r="L98" s="0" t="s">
        <v>50</v>
      </c>
      <c r="M98" s="0" t="str">
        <f aca="false">HYPERLINK("https://www.genecards.org/Search/Keyword?queryString=%5Baliases%5D(%20CTBP2%20)&amp;keywords=CTBP2", "CTBP2")</f>
        <v>CTBP2</v>
      </c>
      <c r="N98" s="0" t="s">
        <v>92</v>
      </c>
      <c r="O98" s="0" t="s">
        <v>312</v>
      </c>
      <c r="P98" s="0" t="s">
        <v>788</v>
      </c>
      <c r="Q98" s="0" t="n">
        <v>-1</v>
      </c>
      <c r="R98" s="0" t="n">
        <v>-1</v>
      </c>
      <c r="S98" s="0" t="n">
        <v>-1</v>
      </c>
      <c r="T98" s="0" t="n">
        <v>-1</v>
      </c>
      <c r="U98" s="0" t="n">
        <v>-1</v>
      </c>
      <c r="V98" s="0" t="s">
        <v>50</v>
      </c>
      <c r="W98" s="0" t="s">
        <v>50</v>
      </c>
      <c r="X98" s="0" t="s">
        <v>50</v>
      </c>
      <c r="Y98" s="0" t="s">
        <v>50</v>
      </c>
      <c r="Z98" s="0" t="s">
        <v>50</v>
      </c>
      <c r="AA98" s="0" t="s">
        <v>50</v>
      </c>
      <c r="AB98" s="0" t="s">
        <v>50</v>
      </c>
      <c r="AC98" s="0" t="s">
        <v>53</v>
      </c>
      <c r="AD98" s="0" t="s">
        <v>302</v>
      </c>
      <c r="AE98" s="0" t="s">
        <v>414</v>
      </c>
      <c r="AF98" s="0" t="s">
        <v>415</v>
      </c>
      <c r="AG98" s="0" t="s">
        <v>416</v>
      </c>
      <c r="AH98" s="0" t="s">
        <v>50</v>
      </c>
      <c r="AI98" s="0" t="s">
        <v>50</v>
      </c>
      <c r="AJ98" s="0" t="s">
        <v>50</v>
      </c>
      <c r="AK98" s="0" t="s">
        <v>50</v>
      </c>
      <c r="AL98" s="0" t="s">
        <v>50</v>
      </c>
    </row>
    <row r="99" customFormat="false" ht="13.8" hidden="false" customHeight="false" outlineLevel="0" collapsed="false">
      <c r="B99" s="0" t="str">
        <f aca="false">HYPERLINK("https://genome.ucsc.edu/cgi-bin/hgTracks?db=hg19&amp;position=chr10%3A126692023%2D126692023", "chr10:126692023")</f>
        <v>chr10:126692023</v>
      </c>
      <c r="C99" s="0" t="s">
        <v>409</v>
      </c>
      <c r="D99" s="0" t="n">
        <v>126692023</v>
      </c>
      <c r="E99" s="0" t="n">
        <v>126692023</v>
      </c>
      <c r="F99" s="0" t="s">
        <v>74</v>
      </c>
      <c r="G99" s="0" t="s">
        <v>308</v>
      </c>
      <c r="H99" s="0" t="s">
        <v>789</v>
      </c>
      <c r="I99" s="0" t="s">
        <v>790</v>
      </c>
      <c r="J99" s="0" t="s">
        <v>791</v>
      </c>
      <c r="K99" s="0" t="s">
        <v>50</v>
      </c>
      <c r="L99" s="0" t="s">
        <v>50</v>
      </c>
      <c r="M99" s="0" t="str">
        <f aca="false">HYPERLINK("https://www.genecards.org/Search/Keyword?queryString=%5Baliases%5D(%20CTBP2%20)&amp;keywords=CTBP2", "CTBP2")</f>
        <v>CTBP2</v>
      </c>
      <c r="N99" s="0" t="s">
        <v>92</v>
      </c>
      <c r="O99" s="0" t="s">
        <v>312</v>
      </c>
      <c r="P99" s="0" t="s">
        <v>792</v>
      </c>
      <c r="Q99" s="0" t="n">
        <v>-1</v>
      </c>
      <c r="R99" s="0" t="n">
        <v>-1</v>
      </c>
      <c r="S99" s="0" t="n">
        <v>-1</v>
      </c>
      <c r="T99" s="0" t="n">
        <v>-1</v>
      </c>
      <c r="U99" s="0" t="n">
        <v>-1</v>
      </c>
      <c r="V99" s="0" t="s">
        <v>50</v>
      </c>
      <c r="W99" s="0" t="s">
        <v>50</v>
      </c>
      <c r="X99" s="0" t="s">
        <v>50</v>
      </c>
      <c r="Y99" s="0" t="s">
        <v>50</v>
      </c>
      <c r="Z99" s="0" t="s">
        <v>50</v>
      </c>
      <c r="AA99" s="0" t="s">
        <v>50</v>
      </c>
      <c r="AB99" s="0" t="s">
        <v>50</v>
      </c>
      <c r="AC99" s="0" t="s">
        <v>53</v>
      </c>
      <c r="AD99" s="0" t="s">
        <v>302</v>
      </c>
      <c r="AE99" s="0" t="s">
        <v>414</v>
      </c>
      <c r="AF99" s="0" t="s">
        <v>415</v>
      </c>
      <c r="AG99" s="0" t="s">
        <v>416</v>
      </c>
      <c r="AH99" s="0" t="s">
        <v>50</v>
      </c>
      <c r="AI99" s="0" t="s">
        <v>50</v>
      </c>
      <c r="AJ99" s="0" t="s">
        <v>50</v>
      </c>
      <c r="AK99" s="0" t="s">
        <v>50</v>
      </c>
      <c r="AL99" s="0" t="s">
        <v>50</v>
      </c>
    </row>
    <row r="100" customFormat="false" ht="13.8" hidden="false" customHeight="false" outlineLevel="0" collapsed="false">
      <c r="B100" s="0" t="str">
        <f aca="false">HYPERLINK("https://genome.ucsc.edu/cgi-bin/hgTracks?db=hg19&amp;position=chr10%3A126727615%2D126727615", "chr10:126727615")</f>
        <v>chr10:126727615</v>
      </c>
      <c r="C100" s="0" t="s">
        <v>409</v>
      </c>
      <c r="D100" s="0" t="n">
        <v>126727615</v>
      </c>
      <c r="E100" s="0" t="n">
        <v>126727615</v>
      </c>
      <c r="F100" s="0" t="s">
        <v>75</v>
      </c>
      <c r="G100" s="0" t="s">
        <v>308</v>
      </c>
      <c r="H100" s="0" t="s">
        <v>793</v>
      </c>
      <c r="I100" s="0" t="s">
        <v>794</v>
      </c>
      <c r="J100" s="0" t="s">
        <v>795</v>
      </c>
      <c r="K100" s="0" t="s">
        <v>50</v>
      </c>
      <c r="L100" s="0" t="str">
        <f aca="false">HYPERLINK("https://www.ncbi.nlm.nih.gov/snp/rs144283283", "rs144283283")</f>
        <v>rs144283283</v>
      </c>
      <c r="M100" s="0" t="str">
        <f aca="false">HYPERLINK("https://www.genecards.org/Search/Keyword?queryString=%5Baliases%5D(%20CTBP2%20)&amp;keywords=CTBP2", "CTBP2")</f>
        <v>CTBP2</v>
      </c>
      <c r="N100" s="0" t="s">
        <v>92</v>
      </c>
      <c r="O100" s="0" t="s">
        <v>312</v>
      </c>
      <c r="P100" s="0" t="s">
        <v>796</v>
      </c>
      <c r="Q100" s="0" t="n">
        <v>6.5E-006</v>
      </c>
      <c r="R100" s="0" t="n">
        <v>-1</v>
      </c>
      <c r="S100" s="0" t="n">
        <v>-1</v>
      </c>
      <c r="T100" s="0" t="n">
        <v>-1</v>
      </c>
      <c r="U100" s="0" t="n">
        <v>-1</v>
      </c>
      <c r="V100" s="0" t="s">
        <v>50</v>
      </c>
      <c r="W100" s="0" t="s">
        <v>50</v>
      </c>
      <c r="X100" s="0" t="s">
        <v>50</v>
      </c>
      <c r="Y100" s="0" t="s">
        <v>50</v>
      </c>
      <c r="Z100" s="0" t="s">
        <v>50</v>
      </c>
      <c r="AA100" s="0" t="s">
        <v>50</v>
      </c>
      <c r="AB100" s="0" t="s">
        <v>50</v>
      </c>
      <c r="AC100" s="0" t="s">
        <v>53</v>
      </c>
      <c r="AD100" s="0" t="s">
        <v>302</v>
      </c>
      <c r="AE100" s="0" t="s">
        <v>414</v>
      </c>
      <c r="AF100" s="0" t="s">
        <v>415</v>
      </c>
      <c r="AG100" s="0" t="s">
        <v>416</v>
      </c>
      <c r="AH100" s="0" t="s">
        <v>50</v>
      </c>
      <c r="AI100" s="0" t="s">
        <v>50</v>
      </c>
      <c r="AJ100" s="0" t="s">
        <v>50</v>
      </c>
      <c r="AK100" s="0" t="s">
        <v>50</v>
      </c>
      <c r="AL100" s="0" t="s">
        <v>50</v>
      </c>
    </row>
    <row r="101" customFormat="false" ht="13.8" hidden="false" customHeight="false" outlineLevel="0" collapsed="false">
      <c r="B101" s="0" t="str">
        <f aca="false">HYPERLINK("https://genome.ucsc.edu/cgi-bin/hgTracks?db=hg19&amp;position=chr11%3A279270%2D279270", "chr11:279270")</f>
        <v>chr11:279270</v>
      </c>
      <c r="C101" s="0" t="s">
        <v>73</v>
      </c>
      <c r="D101" s="0" t="n">
        <v>279270</v>
      </c>
      <c r="E101" s="0" t="n">
        <v>279270</v>
      </c>
      <c r="F101" s="0" t="s">
        <v>74</v>
      </c>
      <c r="G101" s="0" t="s">
        <v>75</v>
      </c>
      <c r="H101" s="0" t="s">
        <v>748</v>
      </c>
      <c r="I101" s="0" t="s">
        <v>749</v>
      </c>
      <c r="J101" s="0" t="s">
        <v>797</v>
      </c>
      <c r="K101" s="0" t="s">
        <v>50</v>
      </c>
      <c r="L101" s="0" t="str">
        <f aca="false">HYPERLINK("https://www.ncbi.nlm.nih.gov/snp/rs781105794", "rs781105794")</f>
        <v>rs781105794</v>
      </c>
      <c r="M101" s="0" t="str">
        <f aca="false">HYPERLINK("https://www.genecards.org/Search/Keyword?queryString=%5Baliases%5D(%20NLRP6%20)&amp;keywords=NLRP6", "NLRP6")</f>
        <v>NLRP6</v>
      </c>
      <c r="N101" s="0" t="s">
        <v>80</v>
      </c>
      <c r="O101" s="0" t="s">
        <v>50</v>
      </c>
      <c r="P101" s="0" t="s">
        <v>50</v>
      </c>
      <c r="Q101" s="0" t="n">
        <v>0.0285</v>
      </c>
      <c r="R101" s="0" t="n">
        <v>0.0016</v>
      </c>
      <c r="S101" s="0" t="n">
        <v>0.0014</v>
      </c>
      <c r="T101" s="0" t="n">
        <v>-1</v>
      </c>
      <c r="U101" s="0" t="n">
        <v>0.003</v>
      </c>
      <c r="V101" s="0" t="s">
        <v>50</v>
      </c>
      <c r="W101" s="0" t="s">
        <v>50</v>
      </c>
      <c r="X101" s="0" t="s">
        <v>81</v>
      </c>
      <c r="Y101" s="0" t="s">
        <v>82</v>
      </c>
      <c r="Z101" s="0" t="s">
        <v>50</v>
      </c>
      <c r="AA101" s="0" t="s">
        <v>50</v>
      </c>
      <c r="AB101" s="0" t="s">
        <v>50</v>
      </c>
      <c r="AC101" s="0" t="s">
        <v>53</v>
      </c>
      <c r="AD101" s="0" t="s">
        <v>54</v>
      </c>
      <c r="AE101" s="0" t="s">
        <v>50</v>
      </c>
      <c r="AF101" s="0" t="s">
        <v>798</v>
      </c>
      <c r="AG101" s="0" t="s">
        <v>799</v>
      </c>
      <c r="AH101" s="0" t="s">
        <v>50</v>
      </c>
      <c r="AI101" s="0" t="s">
        <v>50</v>
      </c>
      <c r="AJ101" s="0" t="s">
        <v>50</v>
      </c>
      <c r="AK101" s="0" t="s">
        <v>50</v>
      </c>
      <c r="AL101" s="0" t="s">
        <v>50</v>
      </c>
    </row>
    <row r="102" customFormat="false" ht="13.8" hidden="false" customHeight="false" outlineLevel="0" collapsed="false">
      <c r="B102" s="0" t="str">
        <f aca="false">HYPERLINK("https://genome.ucsc.edu/cgi-bin/hgTracks?db=hg19&amp;position=chr11%3A3982741%2D3982741", "chr11:3982741")</f>
        <v>chr11:3982741</v>
      </c>
      <c r="C102" s="0" t="s">
        <v>73</v>
      </c>
      <c r="D102" s="0" t="n">
        <v>3982741</v>
      </c>
      <c r="E102" s="0" t="n">
        <v>3982741</v>
      </c>
      <c r="F102" s="0" t="s">
        <v>39</v>
      </c>
      <c r="G102" s="0" t="s">
        <v>40</v>
      </c>
      <c r="H102" s="0" t="s">
        <v>800</v>
      </c>
      <c r="I102" s="0" t="s">
        <v>801</v>
      </c>
      <c r="J102" s="0" t="s">
        <v>802</v>
      </c>
      <c r="K102" s="0" t="s">
        <v>50</v>
      </c>
      <c r="L102" s="0" t="str">
        <f aca="false">HYPERLINK("https://www.ncbi.nlm.nih.gov/snp/rs28586875", "rs28586875")</f>
        <v>rs28586875</v>
      </c>
      <c r="M102" s="0" t="str">
        <f aca="false">HYPERLINK("https://www.genecards.org/Search/Keyword?queryString=%5Baliases%5D(%20STIM1%20)&amp;keywords=STIM1", "STIM1")</f>
        <v>STIM1</v>
      </c>
      <c r="N102" s="0" t="s">
        <v>390</v>
      </c>
      <c r="O102" s="0" t="s">
        <v>50</v>
      </c>
      <c r="P102" s="0" t="s">
        <v>50</v>
      </c>
      <c r="Q102" s="0" t="n">
        <v>0.0003458</v>
      </c>
      <c r="R102" s="0" t="n">
        <v>-1</v>
      </c>
      <c r="S102" s="0" t="n">
        <v>-1</v>
      </c>
      <c r="T102" s="0" t="n">
        <v>-1</v>
      </c>
      <c r="U102" s="0" t="n">
        <v>-1</v>
      </c>
      <c r="V102" s="0" t="s">
        <v>50</v>
      </c>
      <c r="W102" s="0" t="s">
        <v>50</v>
      </c>
      <c r="X102" s="0" t="s">
        <v>50</v>
      </c>
      <c r="Y102" s="0" t="s">
        <v>50</v>
      </c>
      <c r="Z102" s="0" t="s">
        <v>50</v>
      </c>
      <c r="AA102" s="0" t="s">
        <v>50</v>
      </c>
      <c r="AB102" s="0" t="s">
        <v>50</v>
      </c>
      <c r="AC102" s="0" t="s">
        <v>53</v>
      </c>
      <c r="AD102" s="0" t="s">
        <v>226</v>
      </c>
      <c r="AE102" s="0" t="s">
        <v>803</v>
      </c>
      <c r="AF102" s="0" t="s">
        <v>804</v>
      </c>
      <c r="AG102" s="0" t="s">
        <v>805</v>
      </c>
      <c r="AH102" s="0" t="s">
        <v>806</v>
      </c>
      <c r="AI102" s="0" t="s">
        <v>50</v>
      </c>
      <c r="AJ102" s="0" t="s">
        <v>50</v>
      </c>
      <c r="AK102" s="0" t="s">
        <v>50</v>
      </c>
      <c r="AL102" s="0" t="s">
        <v>50</v>
      </c>
    </row>
    <row r="103" customFormat="false" ht="13.8" hidden="false" customHeight="false" outlineLevel="0" collapsed="false">
      <c r="B103" s="0" t="str">
        <f aca="false">HYPERLINK("https://genome.ucsc.edu/cgi-bin/hgTracks?db=hg19&amp;position=chr11%3A3982743%2D3982743", "chr11:3982743")</f>
        <v>chr11:3982743</v>
      </c>
      <c r="C103" s="0" t="s">
        <v>73</v>
      </c>
      <c r="D103" s="0" t="n">
        <v>3982743</v>
      </c>
      <c r="E103" s="0" t="n">
        <v>3982743</v>
      </c>
      <c r="F103" s="0" t="s">
        <v>40</v>
      </c>
      <c r="G103" s="0" t="s">
        <v>39</v>
      </c>
      <c r="H103" s="0" t="s">
        <v>800</v>
      </c>
      <c r="I103" s="0" t="s">
        <v>801</v>
      </c>
      <c r="J103" s="0" t="s">
        <v>802</v>
      </c>
      <c r="K103" s="0" t="s">
        <v>50</v>
      </c>
      <c r="L103" s="0" t="str">
        <f aca="false">HYPERLINK("https://www.ncbi.nlm.nih.gov/snp/rs28380349", "rs28380349")</f>
        <v>rs28380349</v>
      </c>
      <c r="M103" s="0" t="str">
        <f aca="false">HYPERLINK("https://www.genecards.org/Search/Keyword?queryString=%5Baliases%5D(%20STIM1%20)&amp;keywords=STIM1", "STIM1")</f>
        <v>STIM1</v>
      </c>
      <c r="N103" s="0" t="s">
        <v>390</v>
      </c>
      <c r="O103" s="0" t="s">
        <v>50</v>
      </c>
      <c r="P103" s="0" t="s">
        <v>50</v>
      </c>
      <c r="Q103" s="0" t="n">
        <v>3.84E-005</v>
      </c>
      <c r="R103" s="0" t="n">
        <v>-1</v>
      </c>
      <c r="S103" s="0" t="n">
        <v>-1</v>
      </c>
      <c r="T103" s="0" t="n">
        <v>-1</v>
      </c>
      <c r="U103" s="0" t="n">
        <v>-1</v>
      </c>
      <c r="V103" s="0" t="s">
        <v>50</v>
      </c>
      <c r="W103" s="0" t="s">
        <v>50</v>
      </c>
      <c r="X103" s="0" t="s">
        <v>50</v>
      </c>
      <c r="Y103" s="0" t="s">
        <v>50</v>
      </c>
      <c r="Z103" s="0" t="s">
        <v>50</v>
      </c>
      <c r="AA103" s="0" t="s">
        <v>50</v>
      </c>
      <c r="AB103" s="0" t="s">
        <v>50</v>
      </c>
      <c r="AC103" s="0" t="s">
        <v>53</v>
      </c>
      <c r="AD103" s="0" t="s">
        <v>226</v>
      </c>
      <c r="AE103" s="0" t="s">
        <v>803</v>
      </c>
      <c r="AF103" s="0" t="s">
        <v>804</v>
      </c>
      <c r="AG103" s="0" t="s">
        <v>805</v>
      </c>
      <c r="AH103" s="0" t="s">
        <v>806</v>
      </c>
      <c r="AI103" s="0" t="s">
        <v>50</v>
      </c>
      <c r="AJ103" s="0" t="s">
        <v>50</v>
      </c>
      <c r="AK103" s="0" t="s">
        <v>50</v>
      </c>
      <c r="AL103" s="0" t="s">
        <v>50</v>
      </c>
    </row>
    <row r="104" customFormat="false" ht="13.8" hidden="false" customHeight="false" outlineLevel="0" collapsed="false">
      <c r="B104" s="0" t="str">
        <f aca="false">HYPERLINK("https://genome.ucsc.edu/cgi-bin/hgTracks?db=hg19&amp;position=chr11%3A4903673%2D4903673", "chr11:4903673")</f>
        <v>chr11:4903673</v>
      </c>
      <c r="C104" s="0" t="s">
        <v>73</v>
      </c>
      <c r="D104" s="0" t="n">
        <v>4903673</v>
      </c>
      <c r="E104" s="0" t="n">
        <v>4903673</v>
      </c>
      <c r="F104" s="0" t="s">
        <v>308</v>
      </c>
      <c r="G104" s="0" t="s">
        <v>807</v>
      </c>
      <c r="H104" s="0" t="s">
        <v>808</v>
      </c>
      <c r="I104" s="0" t="s">
        <v>809</v>
      </c>
      <c r="J104" s="0" t="s">
        <v>810</v>
      </c>
      <c r="K104" s="0" t="s">
        <v>50</v>
      </c>
      <c r="L104" s="0" t="str">
        <f aca="false">HYPERLINK("https://www.ncbi.nlm.nih.gov/snp/rs564566592", "rs564566592")</f>
        <v>rs564566592</v>
      </c>
      <c r="M104" s="0" t="str">
        <f aca="false">HYPERLINK("https://www.genecards.org/Search/Keyword?queryString=%5Baliases%5D(%20OR51T1%20)&amp;keywords=OR51T1", "OR51T1")</f>
        <v>OR51T1</v>
      </c>
      <c r="N104" s="0" t="s">
        <v>92</v>
      </c>
      <c r="O104" s="0" t="s">
        <v>323</v>
      </c>
      <c r="P104" s="0" t="s">
        <v>811</v>
      </c>
      <c r="Q104" s="0" t="n">
        <v>0.0101</v>
      </c>
      <c r="R104" s="0" t="n">
        <v>0.0102</v>
      </c>
      <c r="S104" s="0" t="n">
        <v>0.0104</v>
      </c>
      <c r="T104" s="0" t="n">
        <v>-1</v>
      </c>
      <c r="U104" s="0" t="n">
        <v>0.012</v>
      </c>
      <c r="V104" s="0" t="s">
        <v>50</v>
      </c>
      <c r="W104" s="0" t="s">
        <v>50</v>
      </c>
      <c r="X104" s="0" t="s">
        <v>50</v>
      </c>
      <c r="Y104" s="0" t="s">
        <v>50</v>
      </c>
      <c r="Z104" s="0" t="s">
        <v>50</v>
      </c>
      <c r="AA104" s="0" t="s">
        <v>50</v>
      </c>
      <c r="AB104" s="0" t="s">
        <v>50</v>
      </c>
      <c r="AC104" s="0" t="s">
        <v>53</v>
      </c>
      <c r="AD104" s="0" t="s">
        <v>54</v>
      </c>
      <c r="AE104" s="0" t="s">
        <v>812</v>
      </c>
      <c r="AF104" s="0" t="s">
        <v>813</v>
      </c>
      <c r="AG104" s="0" t="s">
        <v>814</v>
      </c>
      <c r="AH104" s="0" t="s">
        <v>50</v>
      </c>
      <c r="AI104" s="0" t="s">
        <v>50</v>
      </c>
      <c r="AJ104" s="0" t="s">
        <v>50</v>
      </c>
      <c r="AK104" s="0" t="s">
        <v>50</v>
      </c>
      <c r="AL104" s="0" t="s">
        <v>50</v>
      </c>
    </row>
    <row r="105" customFormat="false" ht="13.8" hidden="false" customHeight="false" outlineLevel="0" collapsed="false">
      <c r="B105" s="0" t="str">
        <f aca="false">HYPERLINK("https://genome.ucsc.edu/cgi-bin/hgTracks?db=hg19&amp;position=chr11%3A5687320%2D5687320", "chr11:5687320")</f>
        <v>chr11:5687320</v>
      </c>
      <c r="C105" s="0" t="s">
        <v>73</v>
      </c>
      <c r="D105" s="0" t="n">
        <v>5687320</v>
      </c>
      <c r="E105" s="0" t="n">
        <v>5687320</v>
      </c>
      <c r="F105" s="0" t="s">
        <v>308</v>
      </c>
      <c r="G105" s="0" t="s">
        <v>725</v>
      </c>
      <c r="H105" s="0" t="s">
        <v>815</v>
      </c>
      <c r="I105" s="0" t="s">
        <v>816</v>
      </c>
      <c r="J105" s="0" t="s">
        <v>817</v>
      </c>
      <c r="K105" s="0" t="s">
        <v>50</v>
      </c>
      <c r="L105" s="0" t="s">
        <v>50</v>
      </c>
      <c r="M105" s="0" t="str">
        <f aca="false">HYPERLINK("https://www.genecards.org/Search/Keyword?queryString=%5Baliases%5D(%20TRIM5%20)%20OR%20%5Baliases%5D(%20TRIpartitemotifprotein%20)&amp;keywords=TRIM5,TRIpartitemotifprotein", "TRIM5;TRIpartitemotifprotein")</f>
        <v>TRIM5;TRIpartitemotifprotein</v>
      </c>
      <c r="N105" s="0" t="s">
        <v>818</v>
      </c>
      <c r="O105" s="0" t="s">
        <v>93</v>
      </c>
      <c r="P105" s="0" t="s">
        <v>819</v>
      </c>
      <c r="Q105" s="0" t="n">
        <v>0.0239</v>
      </c>
      <c r="R105" s="0" t="n">
        <v>0.0255</v>
      </c>
      <c r="S105" s="0" t="n">
        <v>0.0188</v>
      </c>
      <c r="T105" s="0" t="n">
        <v>-1</v>
      </c>
      <c r="U105" s="0" t="n">
        <v>0.0615</v>
      </c>
      <c r="V105" s="0" t="s">
        <v>50</v>
      </c>
      <c r="W105" s="0" t="s">
        <v>50</v>
      </c>
      <c r="X105" s="0" t="s">
        <v>50</v>
      </c>
      <c r="Y105" s="0" t="s">
        <v>50</v>
      </c>
      <c r="Z105" s="0" t="s">
        <v>50</v>
      </c>
      <c r="AA105" s="0" t="s">
        <v>50</v>
      </c>
      <c r="AB105" s="0" t="s">
        <v>50</v>
      </c>
      <c r="AC105" s="0" t="s">
        <v>53</v>
      </c>
      <c r="AD105" s="0" t="s">
        <v>157</v>
      </c>
      <c r="AE105" s="0" t="s">
        <v>820</v>
      </c>
      <c r="AF105" s="0" t="s">
        <v>821</v>
      </c>
      <c r="AG105" s="0" t="s">
        <v>822</v>
      </c>
      <c r="AH105" s="0" t="s">
        <v>50</v>
      </c>
      <c r="AI105" s="0" t="s">
        <v>50</v>
      </c>
      <c r="AJ105" s="0" t="s">
        <v>50</v>
      </c>
      <c r="AK105" s="0" t="s">
        <v>50</v>
      </c>
      <c r="AL105" s="0" t="s">
        <v>50</v>
      </c>
    </row>
    <row r="106" customFormat="false" ht="13.8" hidden="false" customHeight="false" outlineLevel="0" collapsed="false">
      <c r="B106" s="0" t="str">
        <f aca="false">HYPERLINK("https://genome.ucsc.edu/cgi-bin/hgTracks?db=hg19&amp;position=chr11%3A18267215%2D18267215", "chr11:18267215")</f>
        <v>chr11:18267215</v>
      </c>
      <c r="C106" s="0" t="s">
        <v>73</v>
      </c>
      <c r="D106" s="0" t="n">
        <v>18267215</v>
      </c>
      <c r="E106" s="0" t="n">
        <v>18267215</v>
      </c>
      <c r="F106" s="0" t="s">
        <v>39</v>
      </c>
      <c r="G106" s="0" t="s">
        <v>75</v>
      </c>
      <c r="H106" s="0" t="s">
        <v>823</v>
      </c>
      <c r="I106" s="0" t="s">
        <v>824</v>
      </c>
      <c r="J106" s="0" t="s">
        <v>825</v>
      </c>
      <c r="K106" s="0" t="s">
        <v>50</v>
      </c>
      <c r="L106" s="0" t="str">
        <f aca="false">HYPERLINK("https://www.ncbi.nlm.nih.gov/snp/rs1047057547", "rs1047057547")</f>
        <v>rs1047057547</v>
      </c>
      <c r="M106" s="0" t="str">
        <f aca="false">HYPERLINK("https://www.genecards.org/Search/Keyword?queryString=%5Baliases%5D(%20SAA2%20)%20OR%20%5Baliases%5D(%20SAA2-SAA4%20)&amp;keywords=SAA2,SAA2-SAA4", "SAA2;SAA2-SAA4")</f>
        <v>SAA2;SAA2-SAA4</v>
      </c>
      <c r="N106" s="0" t="s">
        <v>347</v>
      </c>
      <c r="O106" s="0" t="s">
        <v>50</v>
      </c>
      <c r="P106" s="0" t="s">
        <v>50</v>
      </c>
      <c r="Q106" s="0" t="n">
        <v>-1</v>
      </c>
      <c r="R106" s="0" t="n">
        <v>-1</v>
      </c>
      <c r="S106" s="0" t="n">
        <v>-1</v>
      </c>
      <c r="T106" s="0" t="n">
        <v>-1</v>
      </c>
      <c r="U106" s="0" t="n">
        <v>-1</v>
      </c>
      <c r="V106" s="0" t="s">
        <v>50</v>
      </c>
      <c r="W106" s="0" t="s">
        <v>50</v>
      </c>
      <c r="X106" s="0" t="s">
        <v>348</v>
      </c>
      <c r="Y106" s="0" t="s">
        <v>82</v>
      </c>
      <c r="Z106" s="0" t="s">
        <v>50</v>
      </c>
      <c r="AA106" s="0" t="s">
        <v>50</v>
      </c>
      <c r="AB106" s="0" t="s">
        <v>50</v>
      </c>
      <c r="AC106" s="0" t="s">
        <v>53</v>
      </c>
      <c r="AD106" s="0" t="s">
        <v>157</v>
      </c>
      <c r="AE106" s="0" t="s">
        <v>826</v>
      </c>
      <c r="AF106" s="0" t="s">
        <v>827</v>
      </c>
      <c r="AG106" s="0" t="s">
        <v>828</v>
      </c>
      <c r="AH106" s="0" t="s">
        <v>829</v>
      </c>
      <c r="AI106" s="0" t="s">
        <v>50</v>
      </c>
      <c r="AJ106" s="0" t="s">
        <v>50</v>
      </c>
      <c r="AK106" s="0" t="s">
        <v>50</v>
      </c>
      <c r="AL106" s="0" t="s">
        <v>50</v>
      </c>
    </row>
    <row r="107" customFormat="false" ht="13.8" hidden="false" customHeight="false" outlineLevel="0" collapsed="false">
      <c r="B107" s="0" t="str">
        <f aca="false">HYPERLINK("https://genome.ucsc.edu/cgi-bin/hgTracks?db=hg19&amp;position=chr11%3A31123679%2D31123679", "chr11:31123679")</f>
        <v>chr11:31123679</v>
      </c>
      <c r="C107" s="0" t="s">
        <v>73</v>
      </c>
      <c r="D107" s="0" t="n">
        <v>31123679</v>
      </c>
      <c r="E107" s="0" t="n">
        <v>31123679</v>
      </c>
      <c r="F107" s="0" t="s">
        <v>75</v>
      </c>
      <c r="G107" s="0" t="s">
        <v>40</v>
      </c>
      <c r="H107" s="0" t="s">
        <v>830</v>
      </c>
      <c r="I107" s="0" t="s">
        <v>435</v>
      </c>
      <c r="J107" s="0" t="s">
        <v>831</v>
      </c>
      <c r="K107" s="0" t="s">
        <v>50</v>
      </c>
      <c r="L107" s="0" t="str">
        <f aca="false">HYPERLINK("https://www.ncbi.nlm.nih.gov/snp/rs150100392", "rs150100392")</f>
        <v>rs150100392</v>
      </c>
      <c r="M107" s="0" t="str">
        <f aca="false">HYPERLINK("https://www.genecards.org/Search/Keyword?queryString=%5Baliases%5D(%20DCDC1%20)%20OR%20%5Baliases%5D(%20DCDC5%20)&amp;keywords=DCDC1,DCDC5", "DCDC1;DCDC5")</f>
        <v>DCDC1;DCDC5</v>
      </c>
      <c r="N107" s="0" t="s">
        <v>80</v>
      </c>
      <c r="O107" s="0" t="s">
        <v>50</v>
      </c>
      <c r="P107" s="0" t="s">
        <v>50</v>
      </c>
      <c r="Q107" s="0" t="n">
        <v>0.0173</v>
      </c>
      <c r="R107" s="0" t="n">
        <v>0.0089</v>
      </c>
      <c r="S107" s="0" t="n">
        <v>0.0092</v>
      </c>
      <c r="T107" s="0" t="n">
        <v>-1</v>
      </c>
      <c r="U107" s="0" t="n">
        <v>0.0064</v>
      </c>
      <c r="V107" s="0" t="s">
        <v>50</v>
      </c>
      <c r="W107" s="0" t="s">
        <v>50</v>
      </c>
      <c r="X107" s="0" t="s">
        <v>49</v>
      </c>
      <c r="Y107" s="0" t="s">
        <v>82</v>
      </c>
      <c r="Z107" s="0" t="s">
        <v>50</v>
      </c>
      <c r="AA107" s="0" t="s">
        <v>50</v>
      </c>
      <c r="AB107" s="0" t="s">
        <v>50</v>
      </c>
      <c r="AC107" s="0" t="s">
        <v>53</v>
      </c>
      <c r="AD107" s="0" t="s">
        <v>157</v>
      </c>
      <c r="AE107" s="0" t="s">
        <v>832</v>
      </c>
      <c r="AF107" s="0" t="s">
        <v>833</v>
      </c>
      <c r="AG107" s="0" t="s">
        <v>50</v>
      </c>
      <c r="AH107" s="0" t="s">
        <v>50</v>
      </c>
      <c r="AI107" s="0" t="s">
        <v>50</v>
      </c>
      <c r="AJ107" s="0" t="s">
        <v>50</v>
      </c>
      <c r="AK107" s="0" t="s">
        <v>50</v>
      </c>
      <c r="AL107" s="0" t="s">
        <v>50</v>
      </c>
    </row>
    <row r="108" customFormat="false" ht="13.8" hidden="false" customHeight="false" outlineLevel="0" collapsed="false">
      <c r="B108" s="0" t="str">
        <f aca="false">HYPERLINK("https://genome.ucsc.edu/cgi-bin/hgTracks?db=hg19&amp;position=chr11%3A31811463%2D31811463", "chr11:31811463")</f>
        <v>chr11:31811463</v>
      </c>
      <c r="C108" s="0" t="s">
        <v>73</v>
      </c>
      <c r="D108" s="0" t="n">
        <v>31811463</v>
      </c>
      <c r="E108" s="0" t="n">
        <v>31811463</v>
      </c>
      <c r="F108" s="0" t="s">
        <v>40</v>
      </c>
      <c r="G108" s="0" t="s">
        <v>308</v>
      </c>
      <c r="H108" s="0" t="s">
        <v>834</v>
      </c>
      <c r="I108" s="0" t="s">
        <v>835</v>
      </c>
      <c r="J108" s="0" t="s">
        <v>836</v>
      </c>
      <c r="K108" s="0" t="s">
        <v>50</v>
      </c>
      <c r="L108" s="0" t="s">
        <v>50</v>
      </c>
      <c r="M108" s="0" t="str">
        <f aca="false">HYPERLINK("https://www.genecards.org/Search/Keyword?queryString=%5Baliases%5D(%20PAX6%20)&amp;keywords=PAX6", "PAX6")</f>
        <v>PAX6</v>
      </c>
      <c r="N108" s="0" t="s">
        <v>837</v>
      </c>
      <c r="O108" s="0" t="s">
        <v>312</v>
      </c>
      <c r="P108" s="0" t="s">
        <v>838</v>
      </c>
      <c r="Q108" s="0" t="n">
        <v>-1</v>
      </c>
      <c r="R108" s="0" t="n">
        <v>-1</v>
      </c>
      <c r="S108" s="0" t="n">
        <v>-1</v>
      </c>
      <c r="T108" s="0" t="n">
        <v>-1</v>
      </c>
      <c r="U108" s="0" t="n">
        <v>-1</v>
      </c>
      <c r="V108" s="0" t="s">
        <v>50</v>
      </c>
      <c r="W108" s="0" t="s">
        <v>50</v>
      </c>
      <c r="X108" s="0" t="s">
        <v>50</v>
      </c>
      <c r="Y108" s="0" t="s">
        <v>50</v>
      </c>
      <c r="Z108" s="0" t="s">
        <v>50</v>
      </c>
      <c r="AA108" s="0" t="s">
        <v>50</v>
      </c>
      <c r="AB108" s="0" t="s">
        <v>50</v>
      </c>
      <c r="AC108" s="0" t="s">
        <v>455</v>
      </c>
      <c r="AD108" s="0" t="s">
        <v>54</v>
      </c>
      <c r="AE108" s="0" t="s">
        <v>839</v>
      </c>
      <c r="AF108" s="0" t="s">
        <v>840</v>
      </c>
      <c r="AG108" s="0" t="s">
        <v>841</v>
      </c>
      <c r="AH108" s="0" t="s">
        <v>842</v>
      </c>
      <c r="AI108" s="0" t="s">
        <v>50</v>
      </c>
      <c r="AJ108" s="0" t="s">
        <v>50</v>
      </c>
      <c r="AK108" s="0" t="s">
        <v>50</v>
      </c>
      <c r="AL108" s="0" t="s">
        <v>50</v>
      </c>
    </row>
    <row r="109" customFormat="false" ht="13.8" hidden="false" customHeight="false" outlineLevel="0" collapsed="false">
      <c r="B109" s="0" t="str">
        <f aca="false">HYPERLINK("https://genome.ucsc.edu/cgi-bin/hgTracks?db=hg19&amp;position=chr11%3A47640416%2D47640416", "chr11:47640416")</f>
        <v>chr11:47640416</v>
      </c>
      <c r="C109" s="0" t="s">
        <v>73</v>
      </c>
      <c r="D109" s="0" t="n">
        <v>47640416</v>
      </c>
      <c r="E109" s="0" t="n">
        <v>47640416</v>
      </c>
      <c r="F109" s="0" t="s">
        <v>308</v>
      </c>
      <c r="G109" s="0" t="s">
        <v>843</v>
      </c>
      <c r="H109" s="0" t="s">
        <v>606</v>
      </c>
      <c r="I109" s="0" t="s">
        <v>531</v>
      </c>
      <c r="J109" s="0" t="s">
        <v>844</v>
      </c>
      <c r="K109" s="0" t="s">
        <v>50</v>
      </c>
      <c r="L109" s="0" t="str">
        <f aca="false">HYPERLINK("https://www.ncbi.nlm.nih.gov/snp/rs138027870", "rs138027870")</f>
        <v>rs138027870</v>
      </c>
      <c r="M109" s="0" t="str">
        <f aca="false">HYPERLINK("https://www.genecards.org/Search/Keyword?queryString=%5Baliases%5D(%20MTCH2%20)&amp;keywords=MTCH2", "MTCH2")</f>
        <v>MTCH2</v>
      </c>
      <c r="N109" s="0" t="s">
        <v>92</v>
      </c>
      <c r="O109" s="0" t="s">
        <v>323</v>
      </c>
      <c r="P109" s="0" t="s">
        <v>845</v>
      </c>
      <c r="Q109" s="0" t="n">
        <v>0.0006</v>
      </c>
      <c r="R109" s="0" t="n">
        <v>9.316E-005</v>
      </c>
      <c r="S109" s="0" t="n">
        <v>7.522E-005</v>
      </c>
      <c r="T109" s="0" t="n">
        <v>-1</v>
      </c>
      <c r="U109" s="0" t="n">
        <v>0.0002</v>
      </c>
      <c r="V109" s="0" t="s">
        <v>50</v>
      </c>
      <c r="W109" s="0" t="s">
        <v>50</v>
      </c>
      <c r="X109" s="0" t="s">
        <v>50</v>
      </c>
      <c r="Y109" s="0" t="s">
        <v>50</v>
      </c>
      <c r="Z109" s="0" t="s">
        <v>50</v>
      </c>
      <c r="AA109" s="0" t="s">
        <v>50</v>
      </c>
      <c r="AB109" s="0" t="s">
        <v>50</v>
      </c>
      <c r="AC109" s="0" t="s">
        <v>53</v>
      </c>
      <c r="AD109" s="0" t="s">
        <v>54</v>
      </c>
      <c r="AE109" s="0" t="s">
        <v>846</v>
      </c>
      <c r="AF109" s="0" t="s">
        <v>847</v>
      </c>
      <c r="AG109" s="0" t="s">
        <v>848</v>
      </c>
      <c r="AH109" s="0" t="s">
        <v>50</v>
      </c>
      <c r="AI109" s="0" t="s">
        <v>50</v>
      </c>
      <c r="AJ109" s="0" t="s">
        <v>50</v>
      </c>
      <c r="AK109" s="0" t="s">
        <v>50</v>
      </c>
      <c r="AL109" s="0" t="s">
        <v>50</v>
      </c>
    </row>
    <row r="110" customFormat="false" ht="13.8" hidden="false" customHeight="false" outlineLevel="0" collapsed="false">
      <c r="B110" s="0" t="str">
        <f aca="false">HYPERLINK("https://genome.ucsc.edu/cgi-bin/hgTracks?db=hg19&amp;position=chr11%3A63967526%2D63967526", "chr11:63967526")</f>
        <v>chr11:63967526</v>
      </c>
      <c r="C110" s="0" t="s">
        <v>73</v>
      </c>
      <c r="D110" s="0" t="n">
        <v>63967526</v>
      </c>
      <c r="E110" s="0" t="n">
        <v>63967526</v>
      </c>
      <c r="F110" s="0" t="s">
        <v>74</v>
      </c>
      <c r="G110" s="0" t="s">
        <v>75</v>
      </c>
      <c r="H110" s="0" t="s">
        <v>849</v>
      </c>
      <c r="I110" s="0" t="s">
        <v>476</v>
      </c>
      <c r="J110" s="0" t="s">
        <v>850</v>
      </c>
      <c r="K110" s="0" t="s">
        <v>50</v>
      </c>
      <c r="L110" s="0" t="str">
        <f aca="false">HYPERLINK("https://www.ncbi.nlm.nih.gov/snp/rs903394156", "rs903394156")</f>
        <v>rs903394156</v>
      </c>
      <c r="M110" s="0" t="str">
        <f aca="false">HYPERLINK("https://www.genecards.org/Search/Keyword?queryString=%5Baliases%5D(%20STIP1%20)&amp;keywords=STIP1", "STIP1")</f>
        <v>STIP1</v>
      </c>
      <c r="N110" s="0" t="s">
        <v>80</v>
      </c>
      <c r="O110" s="0" t="s">
        <v>50</v>
      </c>
      <c r="P110" s="0" t="s">
        <v>50</v>
      </c>
      <c r="Q110" s="0" t="n">
        <v>6.481E-005</v>
      </c>
      <c r="R110" s="0" t="n">
        <v>-1</v>
      </c>
      <c r="S110" s="0" t="n">
        <v>7.342E-005</v>
      </c>
      <c r="T110" s="0" t="n">
        <v>-1</v>
      </c>
      <c r="U110" s="0" t="n">
        <v>-1</v>
      </c>
      <c r="V110" s="0" t="s">
        <v>50</v>
      </c>
      <c r="W110" s="0" t="s">
        <v>50</v>
      </c>
      <c r="X110" s="0" t="s">
        <v>49</v>
      </c>
      <c r="Y110" s="0" t="s">
        <v>82</v>
      </c>
      <c r="Z110" s="0" t="s">
        <v>50</v>
      </c>
      <c r="AA110" s="0" t="s">
        <v>50</v>
      </c>
      <c r="AB110" s="0" t="s">
        <v>50</v>
      </c>
      <c r="AC110" s="0" t="s">
        <v>53</v>
      </c>
      <c r="AD110" s="0" t="s">
        <v>54</v>
      </c>
      <c r="AE110" s="0" t="s">
        <v>851</v>
      </c>
      <c r="AF110" s="0" t="s">
        <v>852</v>
      </c>
      <c r="AG110" s="0" t="s">
        <v>853</v>
      </c>
      <c r="AH110" s="0" t="s">
        <v>50</v>
      </c>
      <c r="AI110" s="0" t="s">
        <v>50</v>
      </c>
      <c r="AJ110" s="0" t="s">
        <v>50</v>
      </c>
      <c r="AK110" s="0" t="s">
        <v>50</v>
      </c>
      <c r="AL110" s="0" t="s">
        <v>50</v>
      </c>
    </row>
    <row r="111" customFormat="false" ht="13.8" hidden="false" customHeight="false" outlineLevel="0" collapsed="false">
      <c r="B111" s="0" t="str">
        <f aca="false">HYPERLINK("https://genome.ucsc.edu/cgi-bin/hgTracks?db=hg19&amp;position=chr11%3A63997567%2D63997567", "chr11:63997567")</f>
        <v>chr11:63997567</v>
      </c>
      <c r="C111" s="0" t="s">
        <v>73</v>
      </c>
      <c r="D111" s="0" t="n">
        <v>63997567</v>
      </c>
      <c r="E111" s="0" t="n">
        <v>63997567</v>
      </c>
      <c r="F111" s="0" t="s">
        <v>308</v>
      </c>
      <c r="G111" s="0" t="s">
        <v>75</v>
      </c>
      <c r="H111" s="0" t="s">
        <v>854</v>
      </c>
      <c r="I111" s="0" t="s">
        <v>721</v>
      </c>
      <c r="J111" s="0" t="s">
        <v>855</v>
      </c>
      <c r="K111" s="0" t="s">
        <v>50</v>
      </c>
      <c r="L111" s="0" t="s">
        <v>50</v>
      </c>
      <c r="M111" s="0" t="str">
        <f aca="false">HYPERLINK("https://www.genecards.org/Search/Keyword?queryString=%5Baliases%5D(%20AX747192%20)&amp;keywords=AX747192", "AX747192")</f>
        <v>AX747192</v>
      </c>
      <c r="N111" s="0" t="s">
        <v>856</v>
      </c>
      <c r="O111" s="0" t="s">
        <v>323</v>
      </c>
      <c r="P111" s="0" t="s">
        <v>857</v>
      </c>
      <c r="Q111" s="0" t="n">
        <v>-1</v>
      </c>
      <c r="R111" s="0" t="n">
        <v>-1</v>
      </c>
      <c r="S111" s="0" t="n">
        <v>-1</v>
      </c>
      <c r="T111" s="0" t="n">
        <v>-1</v>
      </c>
      <c r="U111" s="0" t="n">
        <v>-1</v>
      </c>
      <c r="V111" s="0" t="s">
        <v>50</v>
      </c>
      <c r="W111" s="0" t="s">
        <v>50</v>
      </c>
      <c r="X111" s="0" t="s">
        <v>50</v>
      </c>
      <c r="Y111" s="0" t="s">
        <v>50</v>
      </c>
      <c r="Z111" s="0" t="s">
        <v>50</v>
      </c>
      <c r="AA111" s="0" t="s">
        <v>50</v>
      </c>
      <c r="AB111" s="0" t="s">
        <v>50</v>
      </c>
      <c r="AC111" s="0" t="s">
        <v>455</v>
      </c>
      <c r="AD111" s="0" t="s">
        <v>54</v>
      </c>
      <c r="AE111" s="0" t="s">
        <v>50</v>
      </c>
      <c r="AF111" s="0" t="s">
        <v>50</v>
      </c>
      <c r="AG111" s="0" t="s">
        <v>50</v>
      </c>
      <c r="AH111" s="0" t="s">
        <v>50</v>
      </c>
      <c r="AI111" s="0" t="s">
        <v>50</v>
      </c>
      <c r="AJ111" s="0" t="s">
        <v>50</v>
      </c>
      <c r="AK111" s="0" t="s">
        <v>50</v>
      </c>
      <c r="AL111" s="0" t="s">
        <v>50</v>
      </c>
    </row>
    <row r="112" customFormat="false" ht="13.8" hidden="false" customHeight="false" outlineLevel="0" collapsed="false">
      <c r="B112" s="0" t="str">
        <f aca="false">HYPERLINK("https://genome.ucsc.edu/cgi-bin/hgTracks?db=hg19&amp;position=chr11%3A67262484%2D67262484", "chr11:67262484")</f>
        <v>chr11:67262484</v>
      </c>
      <c r="C112" s="0" t="s">
        <v>73</v>
      </c>
      <c r="D112" s="0" t="n">
        <v>67262484</v>
      </c>
      <c r="E112" s="0" t="n">
        <v>67262484</v>
      </c>
      <c r="F112" s="0" t="s">
        <v>39</v>
      </c>
      <c r="G112" s="0" t="s">
        <v>40</v>
      </c>
      <c r="H112" s="0" t="s">
        <v>858</v>
      </c>
      <c r="I112" s="0" t="s">
        <v>381</v>
      </c>
      <c r="J112" s="0" t="s">
        <v>859</v>
      </c>
      <c r="K112" s="0" t="s">
        <v>50</v>
      </c>
      <c r="L112" s="0" t="str">
        <f aca="false">HYPERLINK("https://www.ncbi.nlm.nih.gov/snp/rs190539803", "rs190539803")</f>
        <v>rs190539803</v>
      </c>
      <c r="M112" s="0" t="str">
        <f aca="false">HYPERLINK("https://www.genecards.org/Search/Keyword?queryString=%5Baliases%5D(%20PITPNM1%20)&amp;keywords=PITPNM1", "PITPNM1")</f>
        <v>PITPNM1</v>
      </c>
      <c r="N112" s="0" t="s">
        <v>80</v>
      </c>
      <c r="O112" s="0" t="s">
        <v>50</v>
      </c>
      <c r="P112" s="0" t="s">
        <v>50</v>
      </c>
      <c r="Q112" s="0" t="n">
        <v>0.015</v>
      </c>
      <c r="R112" s="0" t="n">
        <v>0.0125</v>
      </c>
      <c r="S112" s="0" t="n">
        <v>0.0104</v>
      </c>
      <c r="T112" s="0" t="n">
        <v>-1</v>
      </c>
      <c r="U112" s="0" t="n">
        <v>0.0174</v>
      </c>
      <c r="V112" s="0" t="s">
        <v>50</v>
      </c>
      <c r="W112" s="0" t="s">
        <v>50</v>
      </c>
      <c r="X112" s="0" t="s">
        <v>49</v>
      </c>
      <c r="Y112" s="0" t="s">
        <v>82</v>
      </c>
      <c r="Z112" s="0" t="s">
        <v>50</v>
      </c>
      <c r="AA112" s="0" t="s">
        <v>50</v>
      </c>
      <c r="AB112" s="0" t="s">
        <v>50</v>
      </c>
      <c r="AC112" s="0" t="s">
        <v>53</v>
      </c>
      <c r="AD112" s="0" t="s">
        <v>54</v>
      </c>
      <c r="AE112" s="0" t="s">
        <v>860</v>
      </c>
      <c r="AF112" s="0" t="s">
        <v>861</v>
      </c>
      <c r="AG112" s="0" t="s">
        <v>862</v>
      </c>
      <c r="AH112" s="0" t="s">
        <v>50</v>
      </c>
      <c r="AI112" s="0" t="s">
        <v>50</v>
      </c>
      <c r="AJ112" s="0" t="s">
        <v>50</v>
      </c>
      <c r="AK112" s="0" t="s">
        <v>50</v>
      </c>
      <c r="AL112" s="0" t="s">
        <v>50</v>
      </c>
    </row>
    <row r="113" customFormat="false" ht="13.8" hidden="false" customHeight="false" outlineLevel="0" collapsed="false">
      <c r="B113" s="0" t="str">
        <f aca="false">HYPERLINK("https://genome.ucsc.edu/cgi-bin/hgTracks?db=hg19&amp;position=chr11%3A117062943%2D117062943", "chr11:117062943")</f>
        <v>chr11:117062943</v>
      </c>
      <c r="C113" s="0" t="s">
        <v>73</v>
      </c>
      <c r="D113" s="0" t="n">
        <v>117062943</v>
      </c>
      <c r="E113" s="0" t="n">
        <v>117062943</v>
      </c>
      <c r="F113" s="0" t="s">
        <v>39</v>
      </c>
      <c r="G113" s="0" t="s">
        <v>74</v>
      </c>
      <c r="H113" s="0" t="s">
        <v>863</v>
      </c>
      <c r="I113" s="0" t="s">
        <v>559</v>
      </c>
      <c r="J113" s="0" t="s">
        <v>864</v>
      </c>
      <c r="K113" s="0" t="s">
        <v>50</v>
      </c>
      <c r="L113" s="0" t="str">
        <f aca="false">HYPERLINK("https://www.ncbi.nlm.nih.gov/snp/rs117348488", "rs117348488")</f>
        <v>rs117348488</v>
      </c>
      <c r="M113" s="0" t="str">
        <f aca="false">HYPERLINK("https://www.genecards.org/Search/Keyword?queryString=%5Baliases%5D(%20SIDT2%20)&amp;keywords=SIDT2", "SIDT2")</f>
        <v>SIDT2</v>
      </c>
      <c r="N113" s="0" t="s">
        <v>80</v>
      </c>
      <c r="O113" s="0" t="s">
        <v>50</v>
      </c>
      <c r="P113" s="0" t="s">
        <v>50</v>
      </c>
      <c r="Q113" s="0" t="n">
        <v>0.0138</v>
      </c>
      <c r="R113" s="0" t="n">
        <v>0.0099</v>
      </c>
      <c r="S113" s="0" t="n">
        <v>0.009</v>
      </c>
      <c r="T113" s="0" t="n">
        <v>-1</v>
      </c>
      <c r="U113" s="0" t="n">
        <v>0.0081</v>
      </c>
      <c r="V113" s="0" t="s">
        <v>50</v>
      </c>
      <c r="W113" s="0" t="s">
        <v>50</v>
      </c>
      <c r="X113" s="0" t="s">
        <v>81</v>
      </c>
      <c r="Y113" s="0" t="s">
        <v>82</v>
      </c>
      <c r="Z113" s="0" t="s">
        <v>50</v>
      </c>
      <c r="AA113" s="0" t="s">
        <v>50</v>
      </c>
      <c r="AB113" s="0" t="s">
        <v>50</v>
      </c>
      <c r="AC113" s="0" t="s">
        <v>53</v>
      </c>
      <c r="AD113" s="0" t="s">
        <v>54</v>
      </c>
      <c r="AE113" s="0" t="s">
        <v>865</v>
      </c>
      <c r="AF113" s="0" t="s">
        <v>866</v>
      </c>
      <c r="AG113" s="0" t="s">
        <v>50</v>
      </c>
      <c r="AH113" s="0" t="s">
        <v>50</v>
      </c>
      <c r="AI113" s="0" t="s">
        <v>50</v>
      </c>
      <c r="AJ113" s="0" t="s">
        <v>50</v>
      </c>
      <c r="AK113" s="0" t="s">
        <v>50</v>
      </c>
      <c r="AL113" s="0" t="s">
        <v>50</v>
      </c>
    </row>
    <row r="114" customFormat="false" ht="13.8" hidden="false" customHeight="false" outlineLevel="0" collapsed="false">
      <c r="B114" s="0" t="str">
        <f aca="false">HYPERLINK("https://genome.ucsc.edu/cgi-bin/hgTracks?db=hg19&amp;position=chr11%3A117222647%2D117222647", "chr11:117222647")</f>
        <v>chr11:117222647</v>
      </c>
      <c r="C114" s="0" t="s">
        <v>73</v>
      </c>
      <c r="D114" s="0" t="n">
        <v>117222647</v>
      </c>
      <c r="E114" s="0" t="n">
        <v>117222647</v>
      </c>
      <c r="F114" s="0" t="s">
        <v>308</v>
      </c>
      <c r="G114" s="0" t="s">
        <v>75</v>
      </c>
      <c r="H114" s="0" t="s">
        <v>867</v>
      </c>
      <c r="I114" s="0" t="s">
        <v>868</v>
      </c>
      <c r="J114" s="0" t="s">
        <v>869</v>
      </c>
      <c r="K114" s="0" t="s">
        <v>50</v>
      </c>
      <c r="L114" s="0" t="str">
        <f aca="false">HYPERLINK("https://www.ncbi.nlm.nih.gov/snp/rs779666861", "rs779666861")</f>
        <v>rs779666861</v>
      </c>
      <c r="M114" s="0" t="str">
        <f aca="false">HYPERLINK("https://www.genecards.org/Search/Keyword?queryString=%5Baliases%5D(%20CEP164%20)&amp;keywords=CEP164", "CEP164")</f>
        <v>CEP164</v>
      </c>
      <c r="N114" s="0" t="s">
        <v>92</v>
      </c>
      <c r="O114" s="0" t="s">
        <v>323</v>
      </c>
      <c r="P114" s="0" t="s">
        <v>870</v>
      </c>
      <c r="Q114" s="0" t="n">
        <v>0.0059</v>
      </c>
      <c r="R114" s="0" t="n">
        <v>0.0005</v>
      </c>
      <c r="S114" s="0" t="n">
        <v>0.0007</v>
      </c>
      <c r="T114" s="0" t="n">
        <v>-1</v>
      </c>
      <c r="U114" s="0" t="n">
        <v>0.001</v>
      </c>
      <c r="V114" s="0" t="s">
        <v>50</v>
      </c>
      <c r="W114" s="0" t="s">
        <v>50</v>
      </c>
      <c r="X114" s="0" t="s">
        <v>50</v>
      </c>
      <c r="Y114" s="0" t="s">
        <v>50</v>
      </c>
      <c r="Z114" s="0" t="s">
        <v>50</v>
      </c>
      <c r="AA114" s="0" t="s">
        <v>50</v>
      </c>
      <c r="AB114" s="0" t="s">
        <v>50</v>
      </c>
      <c r="AC114" s="0" t="s">
        <v>53</v>
      </c>
      <c r="AD114" s="0" t="s">
        <v>54</v>
      </c>
      <c r="AE114" s="0" t="s">
        <v>871</v>
      </c>
      <c r="AF114" s="0" t="s">
        <v>872</v>
      </c>
      <c r="AG114" s="0" t="s">
        <v>873</v>
      </c>
      <c r="AH114" s="0" t="s">
        <v>874</v>
      </c>
      <c r="AI114" s="0" t="s">
        <v>632</v>
      </c>
      <c r="AJ114" s="0" t="s">
        <v>50</v>
      </c>
      <c r="AK114" s="0" t="s">
        <v>50</v>
      </c>
      <c r="AL114" s="0" t="s">
        <v>50</v>
      </c>
    </row>
    <row r="115" customFormat="false" ht="13.8" hidden="false" customHeight="false" outlineLevel="0" collapsed="false">
      <c r="B115" s="0" t="str">
        <f aca="false">HYPERLINK("https://genome.ucsc.edu/cgi-bin/hgTracks?db=hg19&amp;position=chr12%3A22028432%2D22028432", "chr12:22028432")</f>
        <v>chr12:22028432</v>
      </c>
      <c r="C115" s="0" t="s">
        <v>335</v>
      </c>
      <c r="D115" s="0" t="n">
        <v>22028432</v>
      </c>
      <c r="E115" s="0" t="n">
        <v>22028432</v>
      </c>
      <c r="F115" s="0" t="s">
        <v>75</v>
      </c>
      <c r="G115" s="0" t="s">
        <v>74</v>
      </c>
      <c r="H115" s="0" t="s">
        <v>875</v>
      </c>
      <c r="I115" s="0" t="s">
        <v>876</v>
      </c>
      <c r="J115" s="0" t="s">
        <v>877</v>
      </c>
      <c r="K115" s="0" t="s">
        <v>50</v>
      </c>
      <c r="L115" s="0" t="str">
        <f aca="false">HYPERLINK("https://www.ncbi.nlm.nih.gov/snp/rs74704795", "rs74704795")</f>
        <v>rs74704795</v>
      </c>
      <c r="M115" s="0" t="str">
        <f aca="false">HYPERLINK("https://www.genecards.org/Search/Keyword?queryString=%5Baliases%5D(%20ABCC9%20)&amp;keywords=ABCC9", "ABCC9")</f>
        <v>ABCC9</v>
      </c>
      <c r="N115" s="0" t="s">
        <v>347</v>
      </c>
      <c r="O115" s="0" t="s">
        <v>50</v>
      </c>
      <c r="P115" s="0" t="s">
        <v>50</v>
      </c>
      <c r="Q115" s="0" t="n">
        <v>0.0188</v>
      </c>
      <c r="R115" s="0" t="n">
        <v>0.0142</v>
      </c>
      <c r="S115" s="0" t="n">
        <v>0.0141</v>
      </c>
      <c r="T115" s="0" t="n">
        <v>-1</v>
      </c>
      <c r="U115" s="0" t="n">
        <v>0.0174</v>
      </c>
      <c r="V115" s="0" t="s">
        <v>50</v>
      </c>
      <c r="W115" s="0" t="s">
        <v>50</v>
      </c>
      <c r="X115" s="0" t="s">
        <v>348</v>
      </c>
      <c r="Y115" s="0" t="s">
        <v>82</v>
      </c>
      <c r="Z115" s="0" t="s">
        <v>50</v>
      </c>
      <c r="AA115" s="0" t="s">
        <v>50</v>
      </c>
      <c r="AB115" s="0" t="s">
        <v>50</v>
      </c>
      <c r="AC115" s="0" t="s">
        <v>53</v>
      </c>
      <c r="AD115" s="0" t="s">
        <v>54</v>
      </c>
      <c r="AE115" s="0" t="s">
        <v>878</v>
      </c>
      <c r="AF115" s="0" t="s">
        <v>879</v>
      </c>
      <c r="AG115" s="0" t="s">
        <v>880</v>
      </c>
      <c r="AH115" s="0" t="s">
        <v>881</v>
      </c>
      <c r="AI115" s="0" t="s">
        <v>50</v>
      </c>
      <c r="AJ115" s="0" t="s">
        <v>50</v>
      </c>
      <c r="AK115" s="0" t="s">
        <v>50</v>
      </c>
      <c r="AL115" s="0" t="s">
        <v>50</v>
      </c>
    </row>
    <row r="116" customFormat="false" ht="13.8" hidden="false" customHeight="false" outlineLevel="0" collapsed="false">
      <c r="B116" s="0" t="str">
        <f aca="false">HYPERLINK("https://genome.ucsc.edu/cgi-bin/hgTracks?db=hg19&amp;position=chr12%3A31247819%2D31247819", "chr12:31247819")</f>
        <v>chr12:31247819</v>
      </c>
      <c r="C116" s="0" t="s">
        <v>335</v>
      </c>
      <c r="D116" s="0" t="n">
        <v>31247819</v>
      </c>
      <c r="E116" s="0" t="n">
        <v>31247819</v>
      </c>
      <c r="F116" s="0" t="s">
        <v>75</v>
      </c>
      <c r="G116" s="0" t="s">
        <v>74</v>
      </c>
      <c r="H116" s="0" t="s">
        <v>882</v>
      </c>
      <c r="I116" s="0" t="s">
        <v>883</v>
      </c>
      <c r="J116" s="0" t="s">
        <v>884</v>
      </c>
      <c r="K116" s="0" t="s">
        <v>50</v>
      </c>
      <c r="L116" s="0" t="str">
        <f aca="false">HYPERLINK("https://www.ncbi.nlm.nih.gov/snp/rs878987041", "rs878987041")</f>
        <v>rs878987041</v>
      </c>
      <c r="M116" s="0" t="str">
        <f aca="false">HYPERLINK("https://www.genecards.org/Search/Keyword?queryString=%5Baliases%5D(%20DDX11%20)&amp;keywords=DDX11", "DDX11")</f>
        <v>DDX11</v>
      </c>
      <c r="N116" s="0" t="s">
        <v>80</v>
      </c>
      <c r="O116" s="0" t="s">
        <v>50</v>
      </c>
      <c r="P116" s="0" t="s">
        <v>50</v>
      </c>
      <c r="Q116" s="0" t="n">
        <v>0.0026</v>
      </c>
      <c r="R116" s="0" t="n">
        <v>0.0002</v>
      </c>
      <c r="S116" s="0" t="n">
        <v>0.0002</v>
      </c>
      <c r="T116" s="0" t="n">
        <v>-1</v>
      </c>
      <c r="U116" s="0" t="n">
        <v>0.0004</v>
      </c>
      <c r="V116" s="0" t="s">
        <v>50</v>
      </c>
      <c r="W116" s="0" t="s">
        <v>50</v>
      </c>
      <c r="X116" s="0" t="s">
        <v>81</v>
      </c>
      <c r="Y116" s="0" t="s">
        <v>82</v>
      </c>
      <c r="Z116" s="0" t="s">
        <v>50</v>
      </c>
      <c r="AA116" s="0" t="s">
        <v>50</v>
      </c>
      <c r="AB116" s="0" t="s">
        <v>50</v>
      </c>
      <c r="AC116" s="0" t="s">
        <v>53</v>
      </c>
      <c r="AD116" s="0" t="s">
        <v>54</v>
      </c>
      <c r="AE116" s="0" t="s">
        <v>50</v>
      </c>
      <c r="AF116" s="0" t="s">
        <v>885</v>
      </c>
      <c r="AG116" s="0" t="s">
        <v>886</v>
      </c>
      <c r="AH116" s="0" t="s">
        <v>50</v>
      </c>
      <c r="AI116" s="0" t="s">
        <v>50</v>
      </c>
      <c r="AJ116" s="0" t="s">
        <v>50</v>
      </c>
      <c r="AK116" s="0" t="s">
        <v>50</v>
      </c>
      <c r="AL116" s="0" t="s">
        <v>277</v>
      </c>
    </row>
    <row r="117" customFormat="false" ht="13.8" hidden="false" customHeight="false" outlineLevel="0" collapsed="false">
      <c r="B117" s="0" t="str">
        <f aca="false">HYPERLINK("https://genome.ucsc.edu/cgi-bin/hgTracks?db=hg19&amp;position=chr12%3A49121343%2D49121343", "chr12:49121343")</f>
        <v>chr12:49121343</v>
      </c>
      <c r="C117" s="0" t="s">
        <v>335</v>
      </c>
      <c r="D117" s="0" t="n">
        <v>49121343</v>
      </c>
      <c r="E117" s="0" t="n">
        <v>49121343</v>
      </c>
      <c r="F117" s="0" t="s">
        <v>74</v>
      </c>
      <c r="G117" s="0" t="s">
        <v>75</v>
      </c>
      <c r="H117" s="0" t="s">
        <v>887</v>
      </c>
      <c r="I117" s="0" t="s">
        <v>381</v>
      </c>
      <c r="J117" s="0" t="s">
        <v>888</v>
      </c>
      <c r="K117" s="0" t="s">
        <v>50</v>
      </c>
      <c r="L117" s="0" t="str">
        <f aca="false">HYPERLINK("https://www.ncbi.nlm.nih.gov/snp/rs117270884", "rs117270884")</f>
        <v>rs117270884</v>
      </c>
      <c r="M117" s="0" t="str">
        <f aca="false">HYPERLINK("https://www.genecards.org/Search/Keyword?queryString=%5Baliases%5D(%20LINC00935%20)%20OR%20%5Baliases%5D(%20TEX49%20)&amp;keywords=LINC00935,TEX49", "LINC00935;TEX49")</f>
        <v>LINC00935;TEX49</v>
      </c>
      <c r="N117" s="0" t="s">
        <v>64</v>
      </c>
      <c r="O117" s="0" t="s">
        <v>50</v>
      </c>
      <c r="P117" s="0" t="s">
        <v>889</v>
      </c>
      <c r="Q117" s="0" t="n">
        <v>0.0139</v>
      </c>
      <c r="R117" s="0" t="n">
        <v>0.0144</v>
      </c>
      <c r="S117" s="0" t="n">
        <v>0.0133</v>
      </c>
      <c r="T117" s="0" t="n">
        <v>-1</v>
      </c>
      <c r="U117" s="0" t="n">
        <v>0.0118</v>
      </c>
      <c r="V117" s="0" t="s">
        <v>50</v>
      </c>
      <c r="W117" s="0" t="s">
        <v>50</v>
      </c>
      <c r="X117" s="0" t="s">
        <v>50</v>
      </c>
      <c r="Y117" s="0" t="s">
        <v>50</v>
      </c>
      <c r="Z117" s="0" t="s">
        <v>50</v>
      </c>
      <c r="AA117" s="0" t="s">
        <v>50</v>
      </c>
      <c r="AB117" s="0" t="s">
        <v>50</v>
      </c>
      <c r="AC117" s="0" t="s">
        <v>53</v>
      </c>
      <c r="AD117" s="0" t="s">
        <v>157</v>
      </c>
      <c r="AE117" s="0" t="s">
        <v>50</v>
      </c>
      <c r="AF117" s="0" t="s">
        <v>890</v>
      </c>
      <c r="AG117" s="0" t="s">
        <v>50</v>
      </c>
      <c r="AH117" s="0" t="s">
        <v>50</v>
      </c>
      <c r="AI117" s="0" t="s">
        <v>50</v>
      </c>
      <c r="AJ117" s="0" t="s">
        <v>50</v>
      </c>
      <c r="AK117" s="0" t="s">
        <v>50</v>
      </c>
      <c r="AL117" s="0" t="s">
        <v>50</v>
      </c>
    </row>
    <row r="118" customFormat="false" ht="13.8" hidden="false" customHeight="false" outlineLevel="0" collapsed="false">
      <c r="B118" s="0" t="str">
        <f aca="false">HYPERLINK("https://genome.ucsc.edu/cgi-bin/hgTracks?db=hg19&amp;position=chr12%3A49981227%2D49981227", "chr12:49981227")</f>
        <v>chr12:49981227</v>
      </c>
      <c r="C118" s="0" t="s">
        <v>335</v>
      </c>
      <c r="D118" s="0" t="n">
        <v>49981227</v>
      </c>
      <c r="E118" s="0" t="n">
        <v>49981227</v>
      </c>
      <c r="F118" s="0" t="s">
        <v>39</v>
      </c>
      <c r="G118" s="0" t="s">
        <v>40</v>
      </c>
      <c r="H118" s="0" t="s">
        <v>891</v>
      </c>
      <c r="I118" s="0" t="s">
        <v>727</v>
      </c>
      <c r="J118" s="0" t="s">
        <v>892</v>
      </c>
      <c r="K118" s="0" t="s">
        <v>50</v>
      </c>
      <c r="L118" s="0" t="str">
        <f aca="false">HYPERLINK("https://www.ncbi.nlm.nih.gov/snp/rs117223953", "rs117223953")</f>
        <v>rs117223953</v>
      </c>
      <c r="M118" s="0" t="str">
        <f aca="false">HYPERLINK("https://www.genecards.org/Search/Keyword?queryString=%5Baliases%5D(%20FAM186B%20)&amp;keywords=FAM186B", "FAM186B")</f>
        <v>FAM186B</v>
      </c>
      <c r="N118" s="0" t="s">
        <v>893</v>
      </c>
      <c r="O118" s="0" t="s">
        <v>50</v>
      </c>
      <c r="P118" s="0" t="s">
        <v>894</v>
      </c>
      <c r="Q118" s="0" t="n">
        <v>0.0213</v>
      </c>
      <c r="R118" s="0" t="n">
        <v>0.0214</v>
      </c>
      <c r="S118" s="0" t="n">
        <v>0.0221</v>
      </c>
      <c r="T118" s="0" t="n">
        <v>-1</v>
      </c>
      <c r="U118" s="0" t="n">
        <v>0.0241</v>
      </c>
      <c r="V118" s="0" t="s">
        <v>50</v>
      </c>
      <c r="W118" s="0" t="s">
        <v>50</v>
      </c>
      <c r="X118" s="0" t="s">
        <v>81</v>
      </c>
      <c r="Y118" s="0" t="s">
        <v>82</v>
      </c>
      <c r="Z118" s="0" t="s">
        <v>50</v>
      </c>
      <c r="AA118" s="0" t="s">
        <v>50</v>
      </c>
      <c r="AB118" s="0" t="s">
        <v>50</v>
      </c>
      <c r="AC118" s="0" t="s">
        <v>53</v>
      </c>
      <c r="AD118" s="0" t="s">
        <v>54</v>
      </c>
      <c r="AE118" s="0" t="s">
        <v>895</v>
      </c>
      <c r="AF118" s="0" t="s">
        <v>896</v>
      </c>
      <c r="AG118" s="0" t="s">
        <v>50</v>
      </c>
      <c r="AH118" s="0" t="s">
        <v>50</v>
      </c>
      <c r="AI118" s="0" t="s">
        <v>50</v>
      </c>
      <c r="AJ118" s="0" t="s">
        <v>50</v>
      </c>
      <c r="AK118" s="0" t="s">
        <v>50</v>
      </c>
      <c r="AL118" s="0" t="s">
        <v>50</v>
      </c>
    </row>
    <row r="119" customFormat="false" ht="13.8" hidden="false" customHeight="false" outlineLevel="0" collapsed="false">
      <c r="B119" s="0" t="str">
        <f aca="false">HYPERLINK("https://genome.ucsc.edu/cgi-bin/hgTracks?db=hg19&amp;position=chr12%3A50356177%2D50356177", "chr12:50356177")</f>
        <v>chr12:50356177</v>
      </c>
      <c r="C119" s="0" t="s">
        <v>335</v>
      </c>
      <c r="D119" s="0" t="n">
        <v>50356177</v>
      </c>
      <c r="E119" s="0" t="n">
        <v>50356177</v>
      </c>
      <c r="F119" s="0" t="s">
        <v>74</v>
      </c>
      <c r="G119" s="0" t="s">
        <v>308</v>
      </c>
      <c r="H119" s="0" t="s">
        <v>897</v>
      </c>
      <c r="I119" s="0" t="s">
        <v>898</v>
      </c>
      <c r="J119" s="0" t="s">
        <v>899</v>
      </c>
      <c r="K119" s="0" t="s">
        <v>50</v>
      </c>
      <c r="L119" s="0" t="s">
        <v>50</v>
      </c>
      <c r="M119" s="0" t="str">
        <f aca="false">HYPERLINK("https://www.genecards.org/Search/Keyword?queryString=%5Baliases%5D(%20AQP5%20)%20OR%20%5Baliases%5D(%20LOC101927318%20)&amp;keywords=AQP5,LOC101927318", "AQP5;LOC101927318")</f>
        <v>AQP5;LOC101927318</v>
      </c>
      <c r="N119" s="0" t="s">
        <v>347</v>
      </c>
      <c r="O119" s="0" t="s">
        <v>50</v>
      </c>
      <c r="P119" s="0" t="s">
        <v>50</v>
      </c>
      <c r="Q119" s="0" t="n">
        <v>-1</v>
      </c>
      <c r="R119" s="0" t="n">
        <v>-1</v>
      </c>
      <c r="S119" s="0" t="n">
        <v>-1</v>
      </c>
      <c r="T119" s="0" t="n">
        <v>-1</v>
      </c>
      <c r="U119" s="0" t="n">
        <v>-1</v>
      </c>
      <c r="V119" s="0" t="s">
        <v>50</v>
      </c>
      <c r="W119" s="0" t="s">
        <v>50</v>
      </c>
      <c r="X119" s="0" t="s">
        <v>50</v>
      </c>
      <c r="Y119" s="0" t="s">
        <v>50</v>
      </c>
      <c r="Z119" s="0" t="s">
        <v>50</v>
      </c>
      <c r="AA119" s="0" t="s">
        <v>50</v>
      </c>
      <c r="AB119" s="0" t="s">
        <v>50</v>
      </c>
      <c r="AC119" s="0" t="s">
        <v>455</v>
      </c>
      <c r="AD119" s="0" t="s">
        <v>157</v>
      </c>
      <c r="AE119" s="0" t="s">
        <v>900</v>
      </c>
      <c r="AF119" s="0" t="s">
        <v>901</v>
      </c>
      <c r="AG119" s="0" t="s">
        <v>902</v>
      </c>
      <c r="AH119" s="0" t="s">
        <v>903</v>
      </c>
      <c r="AI119" s="0" t="s">
        <v>50</v>
      </c>
      <c r="AJ119" s="0" t="s">
        <v>50</v>
      </c>
      <c r="AK119" s="0" t="s">
        <v>50</v>
      </c>
      <c r="AL119" s="0" t="s">
        <v>50</v>
      </c>
    </row>
    <row r="120" s="2" customFormat="true" ht="13.8" hidden="false" customHeight="false" outlineLevel="0" collapsed="false">
      <c r="B120" s="2" t="str">
        <f aca="false">HYPERLINK("https://genome.ucsc.edu/cgi-bin/hgTracks?db=hg19&amp;position=chr12%3A58217389%2D58217389", "chr12:58217389")</f>
        <v>chr12:58217389</v>
      </c>
      <c r="C120" s="2" t="s">
        <v>335</v>
      </c>
      <c r="D120" s="2" t="n">
        <v>58217389</v>
      </c>
      <c r="E120" s="2" t="n">
        <v>58217389</v>
      </c>
      <c r="F120" s="2" t="s">
        <v>74</v>
      </c>
      <c r="G120" s="2" t="s">
        <v>308</v>
      </c>
      <c r="H120" s="2" t="s">
        <v>904</v>
      </c>
      <c r="I120" s="2" t="s">
        <v>443</v>
      </c>
      <c r="J120" s="2" t="s">
        <v>905</v>
      </c>
      <c r="K120" s="2" t="s">
        <v>50</v>
      </c>
      <c r="L120" s="2" t="str">
        <f aca="false">HYPERLINK("https://www.ncbi.nlm.nih.gov/snp/rs796385100", "rs796385100")</f>
        <v>rs796385100</v>
      </c>
      <c r="M120" s="2" t="str">
        <f aca="false">HYPERLINK("https://www.genecards.org/Search/Keyword?queryString=%5Baliases%5D(%20CTDSP2%20)&amp;keywords=CTDSP2", "CTDSP2")</f>
        <v>CTDSP2</v>
      </c>
      <c r="N120" s="2" t="s">
        <v>92</v>
      </c>
      <c r="O120" s="2" t="s">
        <v>312</v>
      </c>
      <c r="P120" s="2" t="s">
        <v>906</v>
      </c>
      <c r="Q120" s="2" t="n">
        <v>-1</v>
      </c>
      <c r="R120" s="2" t="n">
        <v>-1</v>
      </c>
      <c r="S120" s="2" t="n">
        <v>-1</v>
      </c>
      <c r="T120" s="2" t="n">
        <v>-1</v>
      </c>
      <c r="U120" s="2" t="n">
        <v>-1</v>
      </c>
      <c r="V120" s="2" t="s">
        <v>50</v>
      </c>
      <c r="W120" s="2" t="s">
        <v>50</v>
      </c>
      <c r="X120" s="2" t="s">
        <v>50</v>
      </c>
      <c r="Y120" s="2" t="s">
        <v>50</v>
      </c>
      <c r="Z120" s="2" t="s">
        <v>50</v>
      </c>
      <c r="AA120" s="2" t="s">
        <v>50</v>
      </c>
      <c r="AB120" s="2" t="s">
        <v>50</v>
      </c>
      <c r="AC120" s="2" t="s">
        <v>53</v>
      </c>
      <c r="AD120" s="2" t="s">
        <v>355</v>
      </c>
      <c r="AE120" s="2" t="s">
        <v>907</v>
      </c>
      <c r="AF120" s="2" t="s">
        <v>908</v>
      </c>
      <c r="AG120" s="2" t="s">
        <v>909</v>
      </c>
      <c r="AH120" s="2" t="s">
        <v>50</v>
      </c>
      <c r="AI120" s="2" t="s">
        <v>50</v>
      </c>
      <c r="AJ120" s="2" t="s">
        <v>50</v>
      </c>
      <c r="AK120" s="2" t="s">
        <v>50</v>
      </c>
      <c r="AL120" s="2" t="s">
        <v>50</v>
      </c>
    </row>
    <row r="121" s="2" customFormat="true" ht="13.8" hidden="false" customHeight="false" outlineLevel="0" collapsed="false">
      <c r="B121" s="2" t="str">
        <f aca="false">HYPERLINK("https://genome.ucsc.edu/cgi-bin/hgTracks?db=hg19&amp;position=chr12%3A58217738%2D58217741", "chr12:58217738")</f>
        <v>chr12:58217738</v>
      </c>
      <c r="C121" s="2" t="s">
        <v>335</v>
      </c>
      <c r="D121" s="2" t="n">
        <v>58217738</v>
      </c>
      <c r="E121" s="2" t="n">
        <v>58217741</v>
      </c>
      <c r="F121" s="2" t="s">
        <v>910</v>
      </c>
      <c r="G121" s="2" t="s">
        <v>308</v>
      </c>
      <c r="H121" s="2" t="s">
        <v>911</v>
      </c>
      <c r="I121" s="2" t="s">
        <v>231</v>
      </c>
      <c r="J121" s="2" t="s">
        <v>912</v>
      </c>
      <c r="K121" s="2" t="s">
        <v>50</v>
      </c>
      <c r="L121" s="2" t="s">
        <v>50</v>
      </c>
      <c r="M121" s="2" t="str">
        <f aca="false">HYPERLINK("https://www.genecards.org/Search/Keyword?queryString=%5Baliases%5D(%20CTDSP2%20)&amp;keywords=CTDSP2", "CTDSP2")</f>
        <v>CTDSP2</v>
      </c>
      <c r="N121" s="2" t="s">
        <v>92</v>
      </c>
      <c r="O121" s="2" t="s">
        <v>312</v>
      </c>
      <c r="P121" s="2" t="s">
        <v>913</v>
      </c>
      <c r="Q121" s="2" t="n">
        <v>-1</v>
      </c>
      <c r="R121" s="2" t="n">
        <v>-1</v>
      </c>
      <c r="S121" s="2" t="n">
        <v>-1</v>
      </c>
      <c r="T121" s="2" t="n">
        <v>-1</v>
      </c>
      <c r="U121" s="2" t="n">
        <v>-1</v>
      </c>
      <c r="V121" s="2" t="s">
        <v>50</v>
      </c>
      <c r="W121" s="2" t="s">
        <v>50</v>
      </c>
      <c r="X121" s="2" t="s">
        <v>50</v>
      </c>
      <c r="Y121" s="2" t="s">
        <v>50</v>
      </c>
      <c r="Z121" s="2" t="s">
        <v>50</v>
      </c>
      <c r="AA121" s="2" t="s">
        <v>50</v>
      </c>
      <c r="AB121" s="2" t="s">
        <v>50</v>
      </c>
      <c r="AC121" s="2" t="s">
        <v>53</v>
      </c>
      <c r="AD121" s="2" t="s">
        <v>355</v>
      </c>
      <c r="AE121" s="2" t="s">
        <v>907</v>
      </c>
      <c r="AF121" s="2" t="s">
        <v>908</v>
      </c>
      <c r="AG121" s="2" t="s">
        <v>909</v>
      </c>
      <c r="AH121" s="2" t="s">
        <v>50</v>
      </c>
      <c r="AI121" s="2" t="s">
        <v>50</v>
      </c>
      <c r="AJ121" s="2" t="s">
        <v>50</v>
      </c>
      <c r="AK121" s="2" t="s">
        <v>50</v>
      </c>
      <c r="AL121" s="2" t="s">
        <v>50</v>
      </c>
    </row>
    <row r="122" s="2" customFormat="true" ht="13.8" hidden="false" customHeight="false" outlineLevel="0" collapsed="false">
      <c r="B122" s="2" t="str">
        <f aca="false">HYPERLINK("https://genome.ucsc.edu/cgi-bin/hgTracks?db=hg19&amp;position=chr12%3A58217744%2D58217744", "chr12:58217744")</f>
        <v>chr12:58217744</v>
      </c>
      <c r="C122" s="2" t="s">
        <v>335</v>
      </c>
      <c r="D122" s="2" t="n">
        <v>58217744</v>
      </c>
      <c r="E122" s="2" t="n">
        <v>58217744</v>
      </c>
      <c r="F122" s="2" t="s">
        <v>308</v>
      </c>
      <c r="G122" s="2" t="s">
        <v>914</v>
      </c>
      <c r="H122" s="2" t="s">
        <v>915</v>
      </c>
      <c r="I122" s="2" t="s">
        <v>916</v>
      </c>
      <c r="J122" s="2" t="s">
        <v>917</v>
      </c>
      <c r="K122" s="2" t="s">
        <v>50</v>
      </c>
      <c r="L122" s="2" t="s">
        <v>50</v>
      </c>
      <c r="M122" s="2" t="str">
        <f aca="false">HYPERLINK("https://www.genecards.org/Search/Keyword?queryString=%5Baliases%5D(%20CTDSP2%20)&amp;keywords=CTDSP2", "CTDSP2")</f>
        <v>CTDSP2</v>
      </c>
      <c r="N122" s="2" t="s">
        <v>92</v>
      </c>
      <c r="O122" s="2" t="s">
        <v>323</v>
      </c>
      <c r="P122" s="2" t="s">
        <v>918</v>
      </c>
      <c r="Q122" s="2" t="n">
        <v>-1</v>
      </c>
      <c r="R122" s="2" t="n">
        <v>-1</v>
      </c>
      <c r="S122" s="2" t="n">
        <v>-1</v>
      </c>
      <c r="T122" s="2" t="n">
        <v>-1</v>
      </c>
      <c r="U122" s="2" t="n">
        <v>-1</v>
      </c>
      <c r="V122" s="2" t="s">
        <v>50</v>
      </c>
      <c r="W122" s="2" t="s">
        <v>50</v>
      </c>
      <c r="X122" s="2" t="s">
        <v>50</v>
      </c>
      <c r="Y122" s="2" t="s">
        <v>50</v>
      </c>
      <c r="Z122" s="2" t="s">
        <v>50</v>
      </c>
      <c r="AA122" s="2" t="s">
        <v>50</v>
      </c>
      <c r="AB122" s="2" t="s">
        <v>50</v>
      </c>
      <c r="AC122" s="2" t="s">
        <v>53</v>
      </c>
      <c r="AD122" s="2" t="s">
        <v>355</v>
      </c>
      <c r="AE122" s="2" t="s">
        <v>907</v>
      </c>
      <c r="AF122" s="2" t="s">
        <v>908</v>
      </c>
      <c r="AG122" s="2" t="s">
        <v>909</v>
      </c>
      <c r="AH122" s="2" t="s">
        <v>50</v>
      </c>
      <c r="AI122" s="2" t="s">
        <v>50</v>
      </c>
      <c r="AJ122" s="2" t="s">
        <v>50</v>
      </c>
      <c r="AK122" s="2" t="s">
        <v>50</v>
      </c>
      <c r="AL122" s="2" t="s">
        <v>50</v>
      </c>
    </row>
    <row r="123" customFormat="false" ht="13.8" hidden="false" customHeight="false" outlineLevel="0" collapsed="false">
      <c r="B123" s="0" t="str">
        <f aca="false">HYPERLINK("https://genome.ucsc.edu/cgi-bin/hgTracks?db=hg19&amp;position=chr12%3A66275433%2D66275434", "chr12:66275433")</f>
        <v>chr12:66275433</v>
      </c>
      <c r="C123" s="0" t="s">
        <v>335</v>
      </c>
      <c r="D123" s="0" t="n">
        <v>66275433</v>
      </c>
      <c r="E123" s="0" t="n">
        <v>66275434</v>
      </c>
      <c r="F123" s="0" t="s">
        <v>619</v>
      </c>
      <c r="G123" s="0" t="s">
        <v>308</v>
      </c>
      <c r="H123" s="0" t="s">
        <v>919</v>
      </c>
      <c r="I123" s="0" t="s">
        <v>61</v>
      </c>
      <c r="J123" s="0" t="s">
        <v>920</v>
      </c>
      <c r="K123" s="0" t="s">
        <v>50</v>
      </c>
      <c r="L123" s="0" t="str">
        <f aca="false">HYPERLINK("https://www.ncbi.nlm.nih.gov/snp/rs138318159", "rs138318159")</f>
        <v>rs138318159</v>
      </c>
      <c r="M123" s="0" t="str">
        <f aca="false">HYPERLINK("https://www.genecards.org/Search/Keyword?queryString=%5Baliases%5D(%20AK128707%20)%20OR%20%5Baliases%5D(%20HMGA2%20)%20OR%20%5Baliases%5D(%20HMGA2-AS1%20)&amp;keywords=AK128707,HMGA2,HMGA2-AS1", "AK128707;HMGA2;HMGA2-AS1")</f>
        <v>AK128707;HMGA2;HMGA2-AS1</v>
      </c>
      <c r="N123" s="0" t="s">
        <v>347</v>
      </c>
      <c r="O123" s="0" t="s">
        <v>50</v>
      </c>
      <c r="P123" s="0" t="s">
        <v>50</v>
      </c>
      <c r="Q123" s="0" t="n">
        <v>0.0067</v>
      </c>
      <c r="R123" s="0" t="n">
        <v>0.0007</v>
      </c>
      <c r="S123" s="0" t="n">
        <v>0.0006</v>
      </c>
      <c r="T123" s="0" t="n">
        <v>-1</v>
      </c>
      <c r="U123" s="0" t="n">
        <v>0.0008</v>
      </c>
      <c r="V123" s="0" t="s">
        <v>50</v>
      </c>
      <c r="W123" s="0" t="s">
        <v>50</v>
      </c>
      <c r="X123" s="0" t="s">
        <v>50</v>
      </c>
      <c r="Y123" s="0" t="s">
        <v>50</v>
      </c>
      <c r="Z123" s="0" t="s">
        <v>50</v>
      </c>
      <c r="AA123" s="0" t="s">
        <v>50</v>
      </c>
      <c r="AB123" s="0" t="s">
        <v>50</v>
      </c>
      <c r="AC123" s="0" t="s">
        <v>53</v>
      </c>
      <c r="AD123" s="0" t="s">
        <v>921</v>
      </c>
      <c r="AE123" s="0" t="s">
        <v>922</v>
      </c>
      <c r="AF123" s="0" t="s">
        <v>923</v>
      </c>
      <c r="AG123" s="0" t="s">
        <v>924</v>
      </c>
      <c r="AH123" s="0" t="s">
        <v>925</v>
      </c>
      <c r="AI123" s="0" t="s">
        <v>50</v>
      </c>
      <c r="AJ123" s="0" t="s">
        <v>50</v>
      </c>
      <c r="AK123" s="0" t="s">
        <v>50</v>
      </c>
      <c r="AL123" s="0" t="s">
        <v>50</v>
      </c>
    </row>
    <row r="124" customFormat="false" ht="13.8" hidden="false" customHeight="false" outlineLevel="0" collapsed="false">
      <c r="B124" s="0" t="str">
        <f aca="false">HYPERLINK("https://genome.ucsc.edu/cgi-bin/hgTracks?db=hg19&amp;position=chr12%3A69747277%2D69747277", "chr12:69747277")</f>
        <v>chr12:69747277</v>
      </c>
      <c r="C124" s="0" t="s">
        <v>335</v>
      </c>
      <c r="D124" s="0" t="n">
        <v>69747277</v>
      </c>
      <c r="E124" s="0" t="n">
        <v>69747277</v>
      </c>
      <c r="F124" s="0" t="s">
        <v>308</v>
      </c>
      <c r="G124" s="0" t="s">
        <v>926</v>
      </c>
      <c r="H124" s="0" t="s">
        <v>927</v>
      </c>
      <c r="I124" s="0" t="s">
        <v>824</v>
      </c>
      <c r="J124" s="0" t="s">
        <v>928</v>
      </c>
      <c r="K124" s="0" t="s">
        <v>50</v>
      </c>
      <c r="L124" s="0" t="s">
        <v>50</v>
      </c>
      <c r="M124" s="0" t="str">
        <f aca="false">HYPERLINK("https://www.genecards.org/Search/Keyword?queryString=%5Baliases%5D(%20LYZ%20)&amp;keywords=LYZ", "LYZ")</f>
        <v>LYZ</v>
      </c>
      <c r="N124" s="0" t="s">
        <v>929</v>
      </c>
      <c r="O124" s="0" t="s">
        <v>50</v>
      </c>
      <c r="P124" s="0" t="s">
        <v>930</v>
      </c>
      <c r="Q124" s="0" t="n">
        <v>0.0001537</v>
      </c>
      <c r="R124" s="0" t="n">
        <v>-1</v>
      </c>
      <c r="S124" s="0" t="n">
        <v>-1</v>
      </c>
      <c r="T124" s="0" t="n">
        <v>-1</v>
      </c>
      <c r="U124" s="0" t="n">
        <v>-1</v>
      </c>
      <c r="V124" s="0" t="s">
        <v>50</v>
      </c>
      <c r="W124" s="0" t="s">
        <v>50</v>
      </c>
      <c r="X124" s="0" t="s">
        <v>50</v>
      </c>
      <c r="Y124" s="0" t="s">
        <v>50</v>
      </c>
      <c r="Z124" s="0" t="s">
        <v>50</v>
      </c>
      <c r="AA124" s="0" t="s">
        <v>50</v>
      </c>
      <c r="AB124" s="0" t="s">
        <v>50</v>
      </c>
      <c r="AC124" s="0" t="s">
        <v>156</v>
      </c>
      <c r="AD124" s="0" t="s">
        <v>54</v>
      </c>
      <c r="AE124" s="0" t="s">
        <v>931</v>
      </c>
      <c r="AF124" s="0" t="s">
        <v>932</v>
      </c>
      <c r="AG124" s="0" t="s">
        <v>933</v>
      </c>
      <c r="AH124" s="0" t="s">
        <v>934</v>
      </c>
      <c r="AI124" s="0" t="s">
        <v>50</v>
      </c>
      <c r="AJ124" s="0" t="s">
        <v>50</v>
      </c>
      <c r="AK124" s="0" t="s">
        <v>50</v>
      </c>
      <c r="AL124" s="0" t="s">
        <v>50</v>
      </c>
    </row>
    <row r="125" customFormat="false" ht="13.8" hidden="false" customHeight="false" outlineLevel="0" collapsed="false">
      <c r="B125" s="0" t="str">
        <f aca="false">HYPERLINK("https://genome.ucsc.edu/cgi-bin/hgTracks?db=hg19&amp;position=chr12%3A81661916%2D81661916", "chr12:81661916")</f>
        <v>chr12:81661916</v>
      </c>
      <c r="C125" s="0" t="s">
        <v>335</v>
      </c>
      <c r="D125" s="0" t="n">
        <v>81661916</v>
      </c>
      <c r="E125" s="0" t="n">
        <v>81661916</v>
      </c>
      <c r="F125" s="0" t="s">
        <v>40</v>
      </c>
      <c r="G125" s="0" t="s">
        <v>39</v>
      </c>
      <c r="H125" s="0" t="s">
        <v>935</v>
      </c>
      <c r="I125" s="0" t="s">
        <v>721</v>
      </c>
      <c r="J125" s="0" t="s">
        <v>936</v>
      </c>
      <c r="K125" s="0" t="s">
        <v>50</v>
      </c>
      <c r="L125" s="0" t="str">
        <f aca="false">HYPERLINK("https://www.ncbi.nlm.nih.gov/snp/rs767793605", "rs767793605")</f>
        <v>rs767793605</v>
      </c>
      <c r="M125" s="0" t="str">
        <f aca="false">HYPERLINK("https://www.genecards.org/Search/Keyword?queryString=%5Baliases%5D(%20PPFIA2%20)&amp;keywords=PPFIA2", "PPFIA2")</f>
        <v>PPFIA2</v>
      </c>
      <c r="N125" s="0" t="s">
        <v>80</v>
      </c>
      <c r="O125" s="0" t="s">
        <v>50</v>
      </c>
      <c r="P125" s="0" t="s">
        <v>50</v>
      </c>
      <c r="Q125" s="0" t="n">
        <v>0.0012</v>
      </c>
      <c r="R125" s="0" t="n">
        <v>0.0003</v>
      </c>
      <c r="S125" s="0" t="n">
        <v>0.0001</v>
      </c>
      <c r="T125" s="0" t="n">
        <v>-1</v>
      </c>
      <c r="U125" s="0" t="n">
        <v>-1</v>
      </c>
      <c r="V125" s="0" t="s">
        <v>50</v>
      </c>
      <c r="W125" s="0" t="s">
        <v>50</v>
      </c>
      <c r="X125" s="0" t="s">
        <v>49</v>
      </c>
      <c r="Y125" s="0" t="s">
        <v>82</v>
      </c>
      <c r="Z125" s="0" t="s">
        <v>50</v>
      </c>
      <c r="AA125" s="0" t="s">
        <v>50</v>
      </c>
      <c r="AB125" s="0" t="s">
        <v>50</v>
      </c>
      <c r="AC125" s="0" t="s">
        <v>53</v>
      </c>
      <c r="AD125" s="0" t="s">
        <v>54</v>
      </c>
      <c r="AE125" s="0" t="s">
        <v>937</v>
      </c>
      <c r="AF125" s="0" t="s">
        <v>938</v>
      </c>
      <c r="AG125" s="0" t="s">
        <v>939</v>
      </c>
      <c r="AH125" s="0" t="s">
        <v>50</v>
      </c>
      <c r="AI125" s="0" t="s">
        <v>50</v>
      </c>
      <c r="AJ125" s="0" t="s">
        <v>50</v>
      </c>
      <c r="AK125" s="0" t="s">
        <v>50</v>
      </c>
      <c r="AL125" s="0" t="s">
        <v>474</v>
      </c>
    </row>
    <row r="126" customFormat="false" ht="13.8" hidden="false" customHeight="false" outlineLevel="0" collapsed="false">
      <c r="B126" s="0" t="str">
        <f aca="false">HYPERLINK("https://genome.ucsc.edu/cgi-bin/hgTracks?db=hg19&amp;position=chr12%3A102190255%2D102190258", "chr12:102190255")</f>
        <v>chr12:102190255</v>
      </c>
      <c r="C126" s="0" t="s">
        <v>335</v>
      </c>
      <c r="D126" s="0" t="n">
        <v>102190255</v>
      </c>
      <c r="E126" s="0" t="n">
        <v>102190258</v>
      </c>
      <c r="F126" s="0" t="s">
        <v>940</v>
      </c>
      <c r="G126" s="0" t="s">
        <v>308</v>
      </c>
      <c r="H126" s="0" t="s">
        <v>941</v>
      </c>
      <c r="I126" s="0" t="s">
        <v>721</v>
      </c>
      <c r="J126" s="0" t="s">
        <v>745</v>
      </c>
      <c r="K126" s="0" t="s">
        <v>50</v>
      </c>
      <c r="L126" s="0" t="str">
        <f aca="false">HYPERLINK("https://www.ncbi.nlm.nih.gov/snp/rs66520841", "rs66520841")</f>
        <v>rs66520841</v>
      </c>
      <c r="M126" s="0" t="str">
        <f aca="false">HYPERLINK("https://www.genecards.org/Search/Keyword?queryString=%5Baliases%5D(%20GNPTAB%20)&amp;keywords=GNPTAB", "GNPTAB")</f>
        <v>GNPTAB</v>
      </c>
      <c r="N126" s="0" t="s">
        <v>390</v>
      </c>
      <c r="O126" s="0" t="s">
        <v>50</v>
      </c>
      <c r="P126" s="0" t="s">
        <v>50</v>
      </c>
      <c r="Q126" s="0" t="n">
        <v>0.0229</v>
      </c>
      <c r="R126" s="0" t="n">
        <v>0.0174</v>
      </c>
      <c r="S126" s="0" t="n">
        <v>0.0171</v>
      </c>
      <c r="T126" s="0" t="n">
        <v>-1</v>
      </c>
      <c r="U126" s="0" t="n">
        <v>0.0178</v>
      </c>
      <c r="V126" s="0" t="s">
        <v>50</v>
      </c>
      <c r="W126" s="0" t="s">
        <v>50</v>
      </c>
      <c r="X126" s="0" t="s">
        <v>50</v>
      </c>
      <c r="Y126" s="0" t="s">
        <v>50</v>
      </c>
      <c r="Z126" s="0" t="s">
        <v>50</v>
      </c>
      <c r="AA126" s="0" t="s">
        <v>50</v>
      </c>
      <c r="AB126" s="0" t="s">
        <v>50</v>
      </c>
      <c r="AC126" s="0" t="s">
        <v>53</v>
      </c>
      <c r="AD126" s="0" t="s">
        <v>54</v>
      </c>
      <c r="AE126" s="0" t="s">
        <v>942</v>
      </c>
      <c r="AF126" s="0" t="s">
        <v>943</v>
      </c>
      <c r="AG126" s="0" t="s">
        <v>944</v>
      </c>
      <c r="AH126" s="0" t="s">
        <v>945</v>
      </c>
      <c r="AI126" s="0" t="s">
        <v>50</v>
      </c>
      <c r="AJ126" s="0" t="s">
        <v>50</v>
      </c>
      <c r="AK126" s="0" t="s">
        <v>50</v>
      </c>
      <c r="AL126" s="0" t="s">
        <v>50</v>
      </c>
    </row>
    <row r="127" customFormat="false" ht="13.8" hidden="false" customHeight="false" outlineLevel="0" collapsed="false">
      <c r="B127" s="0" t="str">
        <f aca="false">HYPERLINK("https://genome.ucsc.edu/cgi-bin/hgTracks?db=hg19&amp;position=chr12%3A102790988%2D102790988", "chr12:102790988")</f>
        <v>chr12:102790988</v>
      </c>
      <c r="C127" s="0" t="s">
        <v>335</v>
      </c>
      <c r="D127" s="0" t="n">
        <v>102790988</v>
      </c>
      <c r="E127" s="0" t="n">
        <v>102790988</v>
      </c>
      <c r="F127" s="0" t="s">
        <v>308</v>
      </c>
      <c r="G127" s="0" t="s">
        <v>75</v>
      </c>
      <c r="H127" s="0" t="s">
        <v>946</v>
      </c>
      <c r="I127" s="0" t="s">
        <v>947</v>
      </c>
      <c r="J127" s="0" t="s">
        <v>948</v>
      </c>
      <c r="K127" s="0" t="s">
        <v>50</v>
      </c>
      <c r="L127" s="0" t="s">
        <v>50</v>
      </c>
      <c r="M127" s="0" t="str">
        <f aca="false">HYPERLINK("https://www.genecards.org/Search/Keyword?queryString=%5Baliases%5D(%20IGF1%20)%20OR%20%5Baliases%5D(%20JX088243%20)&amp;keywords=IGF1,JX088243", "IGF1;JX088243")</f>
        <v>IGF1;JX088243</v>
      </c>
      <c r="N127" s="0" t="s">
        <v>929</v>
      </c>
      <c r="O127" s="0" t="s">
        <v>50</v>
      </c>
      <c r="P127" s="0" t="s">
        <v>949</v>
      </c>
      <c r="Q127" s="0" t="n">
        <v>0.0073</v>
      </c>
      <c r="R127" s="0" t="n">
        <v>0.0054</v>
      </c>
      <c r="S127" s="0" t="n">
        <v>0.004</v>
      </c>
      <c r="T127" s="0" t="n">
        <v>-1</v>
      </c>
      <c r="U127" s="0" t="n">
        <v>0.0046</v>
      </c>
      <c r="V127" s="0" t="s">
        <v>50</v>
      </c>
      <c r="W127" s="0" t="s">
        <v>50</v>
      </c>
      <c r="X127" s="0" t="s">
        <v>50</v>
      </c>
      <c r="Y127" s="0" t="s">
        <v>50</v>
      </c>
      <c r="Z127" s="0" t="s">
        <v>50</v>
      </c>
      <c r="AA127" s="0" t="s">
        <v>50</v>
      </c>
      <c r="AB127" s="0" t="s">
        <v>50</v>
      </c>
      <c r="AC127" s="0" t="s">
        <v>53</v>
      </c>
      <c r="AD127" s="0" t="s">
        <v>157</v>
      </c>
      <c r="AE127" s="0" t="s">
        <v>950</v>
      </c>
      <c r="AF127" s="0" t="s">
        <v>951</v>
      </c>
      <c r="AG127" s="0" t="s">
        <v>952</v>
      </c>
      <c r="AH127" s="0" t="s">
        <v>953</v>
      </c>
      <c r="AI127" s="0" t="s">
        <v>50</v>
      </c>
      <c r="AJ127" s="0" t="s">
        <v>50</v>
      </c>
      <c r="AK127" s="0" t="s">
        <v>50</v>
      </c>
      <c r="AL127" s="0" t="s">
        <v>50</v>
      </c>
    </row>
    <row r="128" customFormat="false" ht="13.8" hidden="false" customHeight="false" outlineLevel="0" collapsed="false">
      <c r="B128" s="0" t="str">
        <f aca="false">HYPERLINK("https://genome.ucsc.edu/cgi-bin/hgTracks?db=hg19&amp;position=chr12%3A123914905%2D123914905", "chr12:123914905")</f>
        <v>chr12:123914905</v>
      </c>
      <c r="C128" s="0" t="s">
        <v>335</v>
      </c>
      <c r="D128" s="0" t="n">
        <v>123914905</v>
      </c>
      <c r="E128" s="0" t="n">
        <v>123914905</v>
      </c>
      <c r="F128" s="0" t="s">
        <v>74</v>
      </c>
      <c r="G128" s="0" t="s">
        <v>40</v>
      </c>
      <c r="H128" s="0" t="s">
        <v>954</v>
      </c>
      <c r="I128" s="0" t="s">
        <v>302</v>
      </c>
      <c r="J128" s="0" t="s">
        <v>955</v>
      </c>
      <c r="K128" s="0" t="s">
        <v>50</v>
      </c>
      <c r="L128" s="0" t="str">
        <f aca="false">HYPERLINK("https://www.ncbi.nlm.nih.gov/snp/rs916432009", "rs916432009")</f>
        <v>rs916432009</v>
      </c>
      <c r="M128" s="0" t="str">
        <f aca="false">HYPERLINK("https://www.genecards.org/Search/Keyword?queryString=%5Baliases%5D(%20RILPL2%20)&amp;keywords=RILPL2", "RILPL2")</f>
        <v>RILPL2</v>
      </c>
      <c r="N128" s="0" t="s">
        <v>80</v>
      </c>
      <c r="O128" s="0" t="s">
        <v>50</v>
      </c>
      <c r="P128" s="0" t="s">
        <v>50</v>
      </c>
      <c r="Q128" s="0" t="n">
        <v>0.0113</v>
      </c>
      <c r="R128" s="0" t="n">
        <v>0.0044</v>
      </c>
      <c r="S128" s="0" t="n">
        <v>0.0032</v>
      </c>
      <c r="T128" s="0" t="n">
        <v>-1</v>
      </c>
      <c r="U128" s="0" t="n">
        <v>0.006</v>
      </c>
      <c r="V128" s="0" t="s">
        <v>50</v>
      </c>
      <c r="W128" s="0" t="s">
        <v>50</v>
      </c>
      <c r="X128" s="0" t="s">
        <v>81</v>
      </c>
      <c r="Y128" s="0" t="s">
        <v>82</v>
      </c>
      <c r="Z128" s="0" t="s">
        <v>50</v>
      </c>
      <c r="AA128" s="0" t="s">
        <v>50</v>
      </c>
      <c r="AB128" s="0" t="s">
        <v>50</v>
      </c>
      <c r="AC128" s="0" t="s">
        <v>53</v>
      </c>
      <c r="AD128" s="0" t="s">
        <v>54</v>
      </c>
      <c r="AE128" s="0" t="s">
        <v>956</v>
      </c>
      <c r="AF128" s="0" t="s">
        <v>957</v>
      </c>
      <c r="AG128" s="0" t="s">
        <v>958</v>
      </c>
      <c r="AH128" s="0" t="s">
        <v>50</v>
      </c>
      <c r="AI128" s="0" t="s">
        <v>50</v>
      </c>
      <c r="AJ128" s="0" t="s">
        <v>50</v>
      </c>
      <c r="AK128" s="0" t="s">
        <v>50</v>
      </c>
      <c r="AL128" s="0" t="s">
        <v>50</v>
      </c>
    </row>
    <row r="129" customFormat="false" ht="13.8" hidden="false" customHeight="false" outlineLevel="0" collapsed="false">
      <c r="B129" s="0" t="str">
        <f aca="false">HYPERLINK("https://genome.ucsc.edu/cgi-bin/hgTracks?db=hg19&amp;position=chr13%3A21170463%2D21170463", "chr13:21170463")</f>
        <v>chr13:21170463</v>
      </c>
      <c r="C129" s="0" t="s">
        <v>450</v>
      </c>
      <c r="D129" s="0" t="n">
        <v>21170463</v>
      </c>
      <c r="E129" s="0" t="n">
        <v>21170463</v>
      </c>
      <c r="F129" s="0" t="s">
        <v>75</v>
      </c>
      <c r="G129" s="0" t="s">
        <v>74</v>
      </c>
      <c r="H129" s="0" t="s">
        <v>959</v>
      </c>
      <c r="I129" s="0" t="s">
        <v>396</v>
      </c>
      <c r="J129" s="0" t="s">
        <v>960</v>
      </c>
      <c r="K129" s="0" t="s">
        <v>50</v>
      </c>
      <c r="L129" s="0" t="str">
        <f aca="false">HYPERLINK("https://www.ncbi.nlm.nih.gov/snp/rs916160586", "rs916160586")</f>
        <v>rs916160586</v>
      </c>
      <c r="M129" s="0" t="str">
        <f aca="false">HYPERLINK("https://www.genecards.org/Search/Keyword?queryString=%5Baliases%5D(%20IFT88%20)&amp;keywords=IFT88", "IFT88")</f>
        <v>IFT88</v>
      </c>
      <c r="N129" s="0" t="s">
        <v>80</v>
      </c>
      <c r="O129" s="0" t="s">
        <v>50</v>
      </c>
      <c r="P129" s="0" t="s">
        <v>50</v>
      </c>
      <c r="Q129" s="0" t="n">
        <v>0.0009</v>
      </c>
      <c r="R129" s="0" t="n">
        <v>0.0012</v>
      </c>
      <c r="S129" s="0" t="n">
        <v>0.0009</v>
      </c>
      <c r="T129" s="0" t="n">
        <v>-1</v>
      </c>
      <c r="U129" s="0" t="n">
        <v>0.0016</v>
      </c>
      <c r="V129" s="0" t="s">
        <v>50</v>
      </c>
      <c r="W129" s="0" t="s">
        <v>50</v>
      </c>
      <c r="X129" s="0" t="s">
        <v>81</v>
      </c>
      <c r="Y129" s="0" t="s">
        <v>82</v>
      </c>
      <c r="Z129" s="0" t="s">
        <v>50</v>
      </c>
      <c r="AA129" s="0" t="s">
        <v>50</v>
      </c>
      <c r="AB129" s="0" t="s">
        <v>50</v>
      </c>
      <c r="AC129" s="0" t="s">
        <v>53</v>
      </c>
      <c r="AD129" s="0" t="s">
        <v>54</v>
      </c>
      <c r="AE129" s="0" t="s">
        <v>961</v>
      </c>
      <c r="AF129" s="0" t="s">
        <v>962</v>
      </c>
      <c r="AG129" s="0" t="s">
        <v>963</v>
      </c>
      <c r="AH129" s="0" t="s">
        <v>50</v>
      </c>
      <c r="AI129" s="0" t="s">
        <v>50</v>
      </c>
      <c r="AJ129" s="0" t="s">
        <v>50</v>
      </c>
      <c r="AK129" s="0" t="s">
        <v>50</v>
      </c>
      <c r="AL129" s="0" t="s">
        <v>50</v>
      </c>
    </row>
    <row r="130" customFormat="false" ht="13.8" hidden="false" customHeight="false" outlineLevel="0" collapsed="false">
      <c r="B130" s="0" t="str">
        <f aca="false">HYPERLINK("https://genome.ucsc.edu/cgi-bin/hgTracks?db=hg19&amp;position=chr13%3A77750765%2D77750765", "chr13:77750765")</f>
        <v>chr13:77750765</v>
      </c>
      <c r="C130" s="0" t="s">
        <v>450</v>
      </c>
      <c r="D130" s="0" t="n">
        <v>77750765</v>
      </c>
      <c r="E130" s="0" t="n">
        <v>77750765</v>
      </c>
      <c r="F130" s="0" t="s">
        <v>308</v>
      </c>
      <c r="G130" s="0" t="s">
        <v>75</v>
      </c>
      <c r="H130" s="0" t="s">
        <v>964</v>
      </c>
      <c r="I130" s="0" t="s">
        <v>525</v>
      </c>
      <c r="J130" s="0" t="s">
        <v>965</v>
      </c>
      <c r="K130" s="0" t="s">
        <v>50</v>
      </c>
      <c r="L130" s="0" t="str">
        <f aca="false">HYPERLINK("https://www.ncbi.nlm.nih.gov/snp/rs754771743", "rs754771743")</f>
        <v>rs754771743</v>
      </c>
      <c r="M130" s="0" t="str">
        <f aca="false">HYPERLINK("https://www.genecards.org/Search/Keyword?queryString=%5Baliases%5D(%20MYCBP2%20)&amp;keywords=MYCBP2", "MYCBP2")</f>
        <v>MYCBP2</v>
      </c>
      <c r="N130" s="0" t="s">
        <v>64</v>
      </c>
      <c r="O130" s="0" t="s">
        <v>50</v>
      </c>
      <c r="P130" s="0" t="s">
        <v>966</v>
      </c>
      <c r="Q130" s="0" t="n">
        <v>0.0195</v>
      </c>
      <c r="R130" s="0" t="n">
        <v>0.0063</v>
      </c>
      <c r="S130" s="0" t="n">
        <v>0.0051</v>
      </c>
      <c r="T130" s="0" t="n">
        <v>-1</v>
      </c>
      <c r="U130" s="0" t="n">
        <v>0.0222</v>
      </c>
      <c r="V130" s="0" t="s">
        <v>50</v>
      </c>
      <c r="W130" s="0" t="s">
        <v>50</v>
      </c>
      <c r="X130" s="0" t="s">
        <v>50</v>
      </c>
      <c r="Y130" s="0" t="s">
        <v>50</v>
      </c>
      <c r="Z130" s="0" t="s">
        <v>50</v>
      </c>
      <c r="AA130" s="0" t="s">
        <v>50</v>
      </c>
      <c r="AB130" s="0" t="s">
        <v>50</v>
      </c>
      <c r="AC130" s="0" t="s">
        <v>53</v>
      </c>
      <c r="AD130" s="0" t="s">
        <v>54</v>
      </c>
      <c r="AE130" s="0" t="s">
        <v>54</v>
      </c>
      <c r="AF130" s="0" t="s">
        <v>967</v>
      </c>
      <c r="AG130" s="0" t="s">
        <v>968</v>
      </c>
      <c r="AH130" s="0" t="s">
        <v>50</v>
      </c>
      <c r="AI130" s="0" t="s">
        <v>50</v>
      </c>
      <c r="AJ130" s="0" t="s">
        <v>50</v>
      </c>
      <c r="AK130" s="0" t="s">
        <v>50</v>
      </c>
      <c r="AL130" s="0" t="s">
        <v>50</v>
      </c>
    </row>
    <row r="131" customFormat="false" ht="13.8" hidden="false" customHeight="false" outlineLevel="0" collapsed="false">
      <c r="B131" s="0" t="str">
        <f aca="false">HYPERLINK("https://genome.ucsc.edu/cgi-bin/hgTracks?db=hg19&amp;position=chr14%3A31075180%2D31075180", "chr14:31075180")</f>
        <v>chr14:31075180</v>
      </c>
      <c r="C131" s="0" t="s">
        <v>38</v>
      </c>
      <c r="D131" s="0" t="n">
        <v>31075180</v>
      </c>
      <c r="E131" s="0" t="n">
        <v>31075180</v>
      </c>
      <c r="F131" s="0" t="s">
        <v>75</v>
      </c>
      <c r="G131" s="0" t="s">
        <v>74</v>
      </c>
      <c r="H131" s="0" t="s">
        <v>969</v>
      </c>
      <c r="I131" s="0" t="s">
        <v>302</v>
      </c>
      <c r="J131" s="0" t="s">
        <v>955</v>
      </c>
      <c r="K131" s="0" t="s">
        <v>50</v>
      </c>
      <c r="L131" s="0" t="str">
        <f aca="false">HYPERLINK("https://www.ncbi.nlm.nih.gov/snp/rs80199187", "rs80199187")</f>
        <v>rs80199187</v>
      </c>
      <c r="M131" s="0" t="str">
        <f aca="false">HYPERLINK("https://www.genecards.org/Search/Keyword?queryString=%5Baliases%5D(%20G2E3%20)&amp;keywords=G2E3", "G2E3")</f>
        <v>G2E3</v>
      </c>
      <c r="N131" s="0" t="s">
        <v>80</v>
      </c>
      <c r="O131" s="0" t="s">
        <v>50</v>
      </c>
      <c r="P131" s="0" t="s">
        <v>50</v>
      </c>
      <c r="Q131" s="0" t="n">
        <v>0.0238</v>
      </c>
      <c r="R131" s="0" t="n">
        <v>0.0237</v>
      </c>
      <c r="S131" s="0" t="n">
        <v>0.0231</v>
      </c>
      <c r="T131" s="0" t="n">
        <v>-1</v>
      </c>
      <c r="U131" s="0" t="n">
        <v>0.0197</v>
      </c>
      <c r="V131" s="0" t="s">
        <v>50</v>
      </c>
      <c r="W131" s="0" t="s">
        <v>50</v>
      </c>
      <c r="X131" s="0" t="s">
        <v>49</v>
      </c>
      <c r="Y131" s="0" t="s">
        <v>82</v>
      </c>
      <c r="Z131" s="0" t="s">
        <v>50</v>
      </c>
      <c r="AA131" s="0" t="s">
        <v>50</v>
      </c>
      <c r="AB131" s="0" t="s">
        <v>50</v>
      </c>
      <c r="AC131" s="0" t="s">
        <v>53</v>
      </c>
      <c r="AD131" s="0" t="s">
        <v>54</v>
      </c>
      <c r="AE131" s="0" t="s">
        <v>970</v>
      </c>
      <c r="AF131" s="0" t="s">
        <v>971</v>
      </c>
      <c r="AG131" s="0" t="s">
        <v>972</v>
      </c>
      <c r="AH131" s="0" t="s">
        <v>50</v>
      </c>
      <c r="AI131" s="0" t="s">
        <v>50</v>
      </c>
      <c r="AJ131" s="0" t="s">
        <v>50</v>
      </c>
      <c r="AK131" s="0" t="s">
        <v>50</v>
      </c>
      <c r="AL131" s="0" t="s">
        <v>50</v>
      </c>
    </row>
    <row r="132" customFormat="false" ht="13.8" hidden="false" customHeight="false" outlineLevel="0" collapsed="false">
      <c r="B132" s="0" t="str">
        <f aca="false">HYPERLINK("https://genome.ucsc.edu/cgi-bin/hgTracks?db=hg19&amp;position=chr14%3A35515525%2D35515525", "chr14:35515525")</f>
        <v>chr14:35515525</v>
      </c>
      <c r="C132" s="0" t="s">
        <v>38</v>
      </c>
      <c r="D132" s="0" t="n">
        <v>35515525</v>
      </c>
      <c r="E132" s="0" t="n">
        <v>35515525</v>
      </c>
      <c r="F132" s="0" t="s">
        <v>39</v>
      </c>
      <c r="G132" s="0" t="s">
        <v>40</v>
      </c>
      <c r="H132" s="0" t="s">
        <v>973</v>
      </c>
      <c r="I132" s="0" t="s">
        <v>648</v>
      </c>
      <c r="J132" s="0" t="s">
        <v>974</v>
      </c>
      <c r="K132" s="0" t="s">
        <v>50</v>
      </c>
      <c r="L132" s="0" t="str">
        <f aca="false">HYPERLINK("https://www.ncbi.nlm.nih.gov/snp/rs777535071", "rs777535071")</f>
        <v>rs777535071</v>
      </c>
      <c r="M132" s="0" t="str">
        <f aca="false">HYPERLINK("https://www.genecards.org/Search/Keyword?queryString=%5Baliases%5D(%20FAM177A1%20)&amp;keywords=FAM177A1", "FAM177A1")</f>
        <v>FAM177A1</v>
      </c>
      <c r="N132" s="0" t="s">
        <v>636</v>
      </c>
      <c r="O132" s="0" t="s">
        <v>50</v>
      </c>
      <c r="P132" s="0" t="s">
        <v>975</v>
      </c>
      <c r="Q132" s="0" t="n">
        <v>0.0032</v>
      </c>
      <c r="R132" s="0" t="n">
        <v>0.0033</v>
      </c>
      <c r="S132" s="0" t="n">
        <v>0.0026</v>
      </c>
      <c r="T132" s="0" t="n">
        <v>-1</v>
      </c>
      <c r="U132" s="0" t="n">
        <v>0.004</v>
      </c>
      <c r="V132" s="0" t="s">
        <v>50</v>
      </c>
      <c r="W132" s="0" t="s">
        <v>50</v>
      </c>
      <c r="X132" s="0" t="s">
        <v>49</v>
      </c>
      <c r="Y132" s="0" t="s">
        <v>82</v>
      </c>
      <c r="Z132" s="0" t="s">
        <v>50</v>
      </c>
      <c r="AA132" s="0" t="s">
        <v>50</v>
      </c>
      <c r="AB132" s="0" t="s">
        <v>50</v>
      </c>
      <c r="AC132" s="0" t="s">
        <v>53</v>
      </c>
      <c r="AD132" s="0" t="s">
        <v>54</v>
      </c>
      <c r="AE132" s="0" t="s">
        <v>976</v>
      </c>
      <c r="AF132" s="0" t="s">
        <v>977</v>
      </c>
      <c r="AG132" s="0" t="s">
        <v>50</v>
      </c>
      <c r="AH132" s="0" t="s">
        <v>50</v>
      </c>
      <c r="AI132" s="0" t="s">
        <v>50</v>
      </c>
      <c r="AJ132" s="0" t="s">
        <v>50</v>
      </c>
      <c r="AK132" s="0" t="s">
        <v>50</v>
      </c>
      <c r="AL132" s="0" t="s">
        <v>50</v>
      </c>
    </row>
    <row r="133" customFormat="false" ht="13.8" hidden="false" customHeight="false" outlineLevel="0" collapsed="false">
      <c r="B133" s="0" t="str">
        <f aca="false">HYPERLINK("https://genome.ucsc.edu/cgi-bin/hgTracks?db=hg19&amp;position=chr14%3A54989093%2D54989093", "chr14:54989093")</f>
        <v>chr14:54989093</v>
      </c>
      <c r="C133" s="0" t="s">
        <v>38</v>
      </c>
      <c r="D133" s="0" t="n">
        <v>54989093</v>
      </c>
      <c r="E133" s="0" t="n">
        <v>54989093</v>
      </c>
      <c r="F133" s="0" t="s">
        <v>40</v>
      </c>
      <c r="G133" s="0" t="s">
        <v>74</v>
      </c>
      <c r="H133" s="0" t="s">
        <v>978</v>
      </c>
      <c r="I133" s="0" t="s">
        <v>979</v>
      </c>
      <c r="J133" s="0" t="s">
        <v>980</v>
      </c>
      <c r="K133" s="0" t="s">
        <v>50</v>
      </c>
      <c r="L133" s="0" t="str">
        <f aca="false">HYPERLINK("https://www.ncbi.nlm.nih.gov/snp/rs111764365", "rs111764365")</f>
        <v>rs111764365</v>
      </c>
      <c r="M133" s="0" t="str">
        <f aca="false">HYPERLINK("https://www.genecards.org/Search/Keyword?queryString=%5Baliases%5D(%20CGRRF1%20)&amp;keywords=CGRRF1", "CGRRF1")</f>
        <v>CGRRF1</v>
      </c>
      <c r="N133" s="0" t="s">
        <v>80</v>
      </c>
      <c r="O133" s="0" t="s">
        <v>50</v>
      </c>
      <c r="P133" s="0" t="s">
        <v>50</v>
      </c>
      <c r="Q133" s="0" t="n">
        <v>0.0103</v>
      </c>
      <c r="R133" s="0" t="n">
        <v>0.0087</v>
      </c>
      <c r="S133" s="0" t="n">
        <v>0.0077</v>
      </c>
      <c r="T133" s="0" t="n">
        <v>-1</v>
      </c>
      <c r="U133" s="0" t="n">
        <v>0.0132</v>
      </c>
      <c r="V133" s="0" t="s">
        <v>50</v>
      </c>
      <c r="W133" s="0" t="s">
        <v>50</v>
      </c>
      <c r="X133" s="0" t="s">
        <v>49</v>
      </c>
      <c r="Y133" s="0" t="s">
        <v>82</v>
      </c>
      <c r="Z133" s="0" t="s">
        <v>50</v>
      </c>
      <c r="AA133" s="0" t="s">
        <v>50</v>
      </c>
      <c r="AB133" s="0" t="s">
        <v>50</v>
      </c>
      <c r="AC133" s="0" t="s">
        <v>53</v>
      </c>
      <c r="AD133" s="0" t="s">
        <v>54</v>
      </c>
      <c r="AE133" s="0" t="s">
        <v>981</v>
      </c>
      <c r="AF133" s="0" t="s">
        <v>982</v>
      </c>
      <c r="AG133" s="0" t="s">
        <v>983</v>
      </c>
      <c r="AH133" s="0" t="s">
        <v>50</v>
      </c>
      <c r="AI133" s="0" t="s">
        <v>50</v>
      </c>
      <c r="AJ133" s="0" t="s">
        <v>50</v>
      </c>
      <c r="AK133" s="0" t="s">
        <v>50</v>
      </c>
      <c r="AL133" s="0" t="s">
        <v>50</v>
      </c>
    </row>
    <row r="134" customFormat="false" ht="13.8" hidden="false" customHeight="false" outlineLevel="0" collapsed="false">
      <c r="B134" s="0" t="str">
        <f aca="false">HYPERLINK("https://genome.ucsc.edu/cgi-bin/hgTracks?db=hg19&amp;position=chr14%3A58060888%2D58060888", "chr14:58060888")</f>
        <v>chr14:58060888</v>
      </c>
      <c r="C134" s="0" t="s">
        <v>38</v>
      </c>
      <c r="D134" s="0" t="n">
        <v>58060888</v>
      </c>
      <c r="E134" s="0" t="n">
        <v>58060888</v>
      </c>
      <c r="F134" s="0" t="s">
        <v>40</v>
      </c>
      <c r="G134" s="0" t="s">
        <v>39</v>
      </c>
      <c r="H134" s="0" t="s">
        <v>984</v>
      </c>
      <c r="I134" s="0" t="s">
        <v>221</v>
      </c>
      <c r="J134" s="0" t="s">
        <v>985</v>
      </c>
      <c r="K134" s="0" t="s">
        <v>50</v>
      </c>
      <c r="L134" s="0" t="str">
        <f aca="false">HYPERLINK("https://www.ncbi.nlm.nih.gov/snp/rs79096272", "rs79096272")</f>
        <v>rs79096272</v>
      </c>
      <c r="M134" s="0" t="str">
        <f aca="false">HYPERLINK("https://www.genecards.org/Search/Keyword?queryString=%5Baliases%5D(%20SLC35F4%20)&amp;keywords=SLC35F4", "SLC35F4")</f>
        <v>SLC35F4</v>
      </c>
      <c r="N134" s="0" t="s">
        <v>80</v>
      </c>
      <c r="O134" s="0" t="s">
        <v>50</v>
      </c>
      <c r="P134" s="0" t="s">
        <v>50</v>
      </c>
      <c r="Q134" s="0" t="n">
        <v>0.010673</v>
      </c>
      <c r="R134" s="0" t="n">
        <v>0.0063</v>
      </c>
      <c r="S134" s="0" t="n">
        <v>0.0065</v>
      </c>
      <c r="T134" s="0" t="n">
        <v>-1</v>
      </c>
      <c r="U134" s="0" t="n">
        <v>0.0053</v>
      </c>
      <c r="V134" s="0" t="s">
        <v>50</v>
      </c>
      <c r="W134" s="0" t="s">
        <v>50</v>
      </c>
      <c r="X134" s="0" t="s">
        <v>81</v>
      </c>
      <c r="Y134" s="0" t="s">
        <v>82</v>
      </c>
      <c r="Z134" s="0" t="s">
        <v>50</v>
      </c>
      <c r="AA134" s="0" t="s">
        <v>50</v>
      </c>
      <c r="AB134" s="0" t="s">
        <v>50</v>
      </c>
      <c r="AC134" s="0" t="s">
        <v>53</v>
      </c>
      <c r="AD134" s="0" t="s">
        <v>54</v>
      </c>
      <c r="AE134" s="0" t="s">
        <v>986</v>
      </c>
      <c r="AF134" s="0" t="s">
        <v>987</v>
      </c>
      <c r="AG134" s="0" t="s">
        <v>988</v>
      </c>
      <c r="AH134" s="0" t="s">
        <v>50</v>
      </c>
      <c r="AI134" s="0" t="s">
        <v>50</v>
      </c>
      <c r="AJ134" s="0" t="s">
        <v>50</v>
      </c>
      <c r="AK134" s="0" t="s">
        <v>50</v>
      </c>
      <c r="AL134" s="0" t="s">
        <v>50</v>
      </c>
    </row>
    <row r="135" customFormat="false" ht="13.8" hidden="false" customHeight="false" outlineLevel="0" collapsed="false">
      <c r="B135" s="0" t="str">
        <f aca="false">HYPERLINK("https://genome.ucsc.edu/cgi-bin/hgTracks?db=hg19&amp;position=chr14%3A62207152%2D62207152", "chr14:62207152")</f>
        <v>chr14:62207152</v>
      </c>
      <c r="C135" s="0" t="s">
        <v>38</v>
      </c>
      <c r="D135" s="0" t="n">
        <v>62207152</v>
      </c>
      <c r="E135" s="0" t="n">
        <v>62207152</v>
      </c>
      <c r="F135" s="0" t="s">
        <v>40</v>
      </c>
      <c r="G135" s="0" t="s">
        <v>75</v>
      </c>
      <c r="H135" s="0" t="s">
        <v>989</v>
      </c>
      <c r="I135" s="0" t="s">
        <v>990</v>
      </c>
      <c r="J135" s="0" t="s">
        <v>991</v>
      </c>
      <c r="K135" s="0" t="s">
        <v>50</v>
      </c>
      <c r="L135" s="0" t="str">
        <f aca="false">HYPERLINK("https://www.ncbi.nlm.nih.gov/snp/rs148373460", "rs148373460")</f>
        <v>rs148373460</v>
      </c>
      <c r="M135" s="0" t="str">
        <f aca="false">HYPERLINK("https://www.genecards.org/Search/Keyword?queryString=%5Baliases%5D(%20HIF1A%20)%20OR%20%5Baliases%5D(%20HIF1A-AS3%20)&amp;keywords=HIF1A,HIF1A-AS3", "HIF1A;HIF1A-AS3")</f>
        <v>HIF1A;HIF1A-AS3</v>
      </c>
      <c r="N135" s="0" t="s">
        <v>347</v>
      </c>
      <c r="O135" s="0" t="s">
        <v>50</v>
      </c>
      <c r="P135" s="0" t="s">
        <v>50</v>
      </c>
      <c r="Q135" s="0" t="n">
        <v>0.0149</v>
      </c>
      <c r="R135" s="0" t="n">
        <v>0.0086</v>
      </c>
      <c r="S135" s="0" t="n">
        <v>0.0076</v>
      </c>
      <c r="T135" s="0" t="n">
        <v>-1</v>
      </c>
      <c r="U135" s="0" t="n">
        <v>0.0081</v>
      </c>
      <c r="V135" s="0" t="s">
        <v>50</v>
      </c>
      <c r="W135" s="0" t="s">
        <v>50</v>
      </c>
      <c r="X135" s="0" t="s">
        <v>49</v>
      </c>
      <c r="Y135" s="0" t="s">
        <v>82</v>
      </c>
      <c r="Z135" s="0" t="s">
        <v>50</v>
      </c>
      <c r="AA135" s="0" t="s">
        <v>50</v>
      </c>
      <c r="AB135" s="0" t="s">
        <v>50</v>
      </c>
      <c r="AC135" s="0" t="s">
        <v>53</v>
      </c>
      <c r="AD135" s="0" t="s">
        <v>157</v>
      </c>
      <c r="AE135" s="0" t="s">
        <v>992</v>
      </c>
      <c r="AF135" s="0" t="s">
        <v>993</v>
      </c>
      <c r="AG135" s="0" t="s">
        <v>994</v>
      </c>
      <c r="AH135" s="0" t="s">
        <v>50</v>
      </c>
      <c r="AI135" s="0" t="s">
        <v>50</v>
      </c>
      <c r="AJ135" s="0" t="s">
        <v>50</v>
      </c>
      <c r="AK135" s="0" t="s">
        <v>50</v>
      </c>
      <c r="AL135" s="0" t="s">
        <v>50</v>
      </c>
    </row>
    <row r="136" customFormat="false" ht="13.8" hidden="false" customHeight="false" outlineLevel="0" collapsed="false">
      <c r="B136" s="0" t="str">
        <f aca="false">HYPERLINK("https://genome.ucsc.edu/cgi-bin/hgTracks?db=hg19&amp;position=chr14%3A71479609%2D71479609", "chr14:71479609")</f>
        <v>chr14:71479609</v>
      </c>
      <c r="C136" s="0" t="s">
        <v>38</v>
      </c>
      <c r="D136" s="0" t="n">
        <v>71479609</v>
      </c>
      <c r="E136" s="0" t="n">
        <v>71479609</v>
      </c>
      <c r="F136" s="0" t="s">
        <v>75</v>
      </c>
      <c r="G136" s="0" t="s">
        <v>74</v>
      </c>
      <c r="H136" s="0" t="s">
        <v>995</v>
      </c>
      <c r="I136" s="0" t="s">
        <v>613</v>
      </c>
      <c r="J136" s="0" t="s">
        <v>996</v>
      </c>
      <c r="K136" s="0" t="s">
        <v>50</v>
      </c>
      <c r="L136" s="0" t="str">
        <f aca="false">HYPERLINK("https://www.ncbi.nlm.nih.gov/snp/rs61990382", "rs61990382")</f>
        <v>rs61990382</v>
      </c>
      <c r="M136" s="0" t="str">
        <f aca="false">HYPERLINK("https://www.genecards.org/Search/Keyword?queryString=%5Baliases%5D(%20PCNX%20)%20OR%20%5Baliases%5D(%20PCNX1%20)&amp;keywords=PCNX,PCNX1", "PCNX;PCNX1")</f>
        <v>PCNX;PCNX1</v>
      </c>
      <c r="N136" s="0" t="s">
        <v>80</v>
      </c>
      <c r="O136" s="0" t="s">
        <v>50</v>
      </c>
      <c r="P136" s="0" t="s">
        <v>50</v>
      </c>
      <c r="Q136" s="0" t="n">
        <v>0.0241</v>
      </c>
      <c r="R136" s="0" t="n">
        <v>0.0179</v>
      </c>
      <c r="S136" s="0" t="n">
        <v>0.0199</v>
      </c>
      <c r="T136" s="0" t="n">
        <v>-1</v>
      </c>
      <c r="U136" s="0" t="n">
        <v>0.0203</v>
      </c>
      <c r="V136" s="0" t="s">
        <v>50</v>
      </c>
      <c r="W136" s="0" t="s">
        <v>50</v>
      </c>
      <c r="X136" s="0" t="s">
        <v>81</v>
      </c>
      <c r="Y136" s="0" t="s">
        <v>82</v>
      </c>
      <c r="Z136" s="0" t="s">
        <v>50</v>
      </c>
      <c r="AA136" s="0" t="s">
        <v>50</v>
      </c>
      <c r="AB136" s="0" t="s">
        <v>50</v>
      </c>
      <c r="AC136" s="0" t="s">
        <v>53</v>
      </c>
      <c r="AD136" s="0" t="s">
        <v>997</v>
      </c>
      <c r="AE136" s="0" t="s">
        <v>50</v>
      </c>
      <c r="AF136" s="0" t="s">
        <v>998</v>
      </c>
      <c r="AG136" s="0" t="s">
        <v>50</v>
      </c>
      <c r="AH136" s="0" t="s">
        <v>50</v>
      </c>
      <c r="AI136" s="0" t="s">
        <v>50</v>
      </c>
      <c r="AJ136" s="0" t="s">
        <v>50</v>
      </c>
      <c r="AK136" s="0" t="s">
        <v>50</v>
      </c>
      <c r="AL136" s="0" t="s">
        <v>50</v>
      </c>
    </row>
    <row r="137" customFormat="false" ht="13.8" hidden="false" customHeight="false" outlineLevel="0" collapsed="false">
      <c r="B137" s="0" t="str">
        <f aca="false">HYPERLINK("https://genome.ucsc.edu/cgi-bin/hgTracks?db=hg19&amp;position=chr14%3A71514342%2D71514342", "chr14:71514342")</f>
        <v>chr14:71514342</v>
      </c>
      <c r="C137" s="0" t="s">
        <v>38</v>
      </c>
      <c r="D137" s="0" t="n">
        <v>71514342</v>
      </c>
      <c r="E137" s="0" t="n">
        <v>71514342</v>
      </c>
      <c r="F137" s="0" t="s">
        <v>75</v>
      </c>
      <c r="G137" s="0" t="s">
        <v>74</v>
      </c>
      <c r="H137" s="0" t="s">
        <v>999</v>
      </c>
      <c r="I137" s="0" t="s">
        <v>480</v>
      </c>
      <c r="J137" s="0" t="s">
        <v>1000</v>
      </c>
      <c r="K137" s="0" t="s">
        <v>50</v>
      </c>
      <c r="L137" s="0" t="str">
        <f aca="false">HYPERLINK("https://www.ncbi.nlm.nih.gov/snp/rs79396086", "rs79396086")</f>
        <v>rs79396086</v>
      </c>
      <c r="M137" s="0" t="str">
        <f aca="false">HYPERLINK("https://www.genecards.org/Search/Keyword?queryString=%5Baliases%5D(%20PCNX%20)%20OR%20%5Baliases%5D(%20PCNX1%20)&amp;keywords=PCNX,PCNX1", "PCNX;PCNX1")</f>
        <v>PCNX;PCNX1</v>
      </c>
      <c r="N137" s="0" t="s">
        <v>80</v>
      </c>
      <c r="O137" s="0" t="s">
        <v>50</v>
      </c>
      <c r="P137" s="0" t="s">
        <v>50</v>
      </c>
      <c r="Q137" s="0" t="n">
        <v>0.024</v>
      </c>
      <c r="R137" s="0" t="n">
        <v>0.0181</v>
      </c>
      <c r="S137" s="0" t="n">
        <v>0.0199</v>
      </c>
      <c r="T137" s="0" t="n">
        <v>-1</v>
      </c>
      <c r="U137" s="0" t="n">
        <v>0.0203</v>
      </c>
      <c r="V137" s="0" t="s">
        <v>50</v>
      </c>
      <c r="W137" s="0" t="s">
        <v>50</v>
      </c>
      <c r="X137" s="0" t="s">
        <v>81</v>
      </c>
      <c r="Y137" s="0" t="s">
        <v>82</v>
      </c>
      <c r="Z137" s="0" t="s">
        <v>50</v>
      </c>
      <c r="AA137" s="0" t="s">
        <v>50</v>
      </c>
      <c r="AB137" s="0" t="s">
        <v>50</v>
      </c>
      <c r="AC137" s="0" t="s">
        <v>53</v>
      </c>
      <c r="AD137" s="0" t="s">
        <v>997</v>
      </c>
      <c r="AE137" s="0" t="s">
        <v>50</v>
      </c>
      <c r="AF137" s="0" t="s">
        <v>998</v>
      </c>
      <c r="AG137" s="0" t="s">
        <v>50</v>
      </c>
      <c r="AH137" s="0" t="s">
        <v>50</v>
      </c>
      <c r="AI137" s="0" t="s">
        <v>50</v>
      </c>
      <c r="AJ137" s="0" t="s">
        <v>50</v>
      </c>
      <c r="AK137" s="0" t="s">
        <v>50</v>
      </c>
      <c r="AL137" s="0" t="s">
        <v>50</v>
      </c>
    </row>
    <row r="138" customFormat="false" ht="13.8" hidden="false" customHeight="false" outlineLevel="0" collapsed="false">
      <c r="B138" s="0" t="str">
        <f aca="false">HYPERLINK("https://genome.ucsc.edu/cgi-bin/hgTracks?db=hg19&amp;position=chr14%3A102881270%2D102881270", "chr14:102881270")</f>
        <v>chr14:102881270</v>
      </c>
      <c r="C138" s="0" t="s">
        <v>38</v>
      </c>
      <c r="D138" s="0" t="n">
        <v>102881270</v>
      </c>
      <c r="E138" s="0" t="n">
        <v>102881270</v>
      </c>
      <c r="F138" s="0" t="s">
        <v>74</v>
      </c>
      <c r="G138" s="0" t="s">
        <v>75</v>
      </c>
      <c r="H138" s="0" t="s">
        <v>1001</v>
      </c>
      <c r="I138" s="0" t="s">
        <v>1002</v>
      </c>
      <c r="J138" s="0" t="s">
        <v>1003</v>
      </c>
      <c r="K138" s="0" t="s">
        <v>50</v>
      </c>
      <c r="L138" s="0" t="s">
        <v>50</v>
      </c>
      <c r="M138" s="0" t="str">
        <f aca="false">HYPERLINK("https://www.genecards.org/Search/Keyword?queryString=%5Baliases%5D(%20TECPR2%20)&amp;keywords=TECPR2", "TECPR2")</f>
        <v>TECPR2</v>
      </c>
      <c r="N138" s="0" t="s">
        <v>80</v>
      </c>
      <c r="O138" s="0" t="s">
        <v>50</v>
      </c>
      <c r="P138" s="0" t="s">
        <v>50</v>
      </c>
      <c r="Q138" s="0" t="n">
        <v>-1</v>
      </c>
      <c r="R138" s="0" t="n">
        <v>-1</v>
      </c>
      <c r="S138" s="0" t="n">
        <v>-1</v>
      </c>
      <c r="T138" s="0" t="n">
        <v>-1</v>
      </c>
      <c r="U138" s="0" t="n">
        <v>-1</v>
      </c>
      <c r="V138" s="0" t="s">
        <v>50</v>
      </c>
      <c r="W138" s="0" t="s">
        <v>50</v>
      </c>
      <c r="X138" s="0" t="s">
        <v>49</v>
      </c>
      <c r="Y138" s="0" t="s">
        <v>82</v>
      </c>
      <c r="Z138" s="0" t="s">
        <v>50</v>
      </c>
      <c r="AA138" s="0" t="s">
        <v>50</v>
      </c>
      <c r="AB138" s="0" t="s">
        <v>50</v>
      </c>
      <c r="AC138" s="0" t="s">
        <v>53</v>
      </c>
      <c r="AD138" s="0" t="s">
        <v>54</v>
      </c>
      <c r="AE138" s="0" t="s">
        <v>1004</v>
      </c>
      <c r="AF138" s="0" t="s">
        <v>1005</v>
      </c>
      <c r="AG138" s="0" t="s">
        <v>1006</v>
      </c>
      <c r="AH138" s="0" t="s">
        <v>50</v>
      </c>
      <c r="AI138" s="0" t="s">
        <v>50</v>
      </c>
      <c r="AJ138" s="0" t="s">
        <v>50</v>
      </c>
      <c r="AK138" s="0" t="s">
        <v>50</v>
      </c>
      <c r="AL138" s="0" t="s">
        <v>50</v>
      </c>
    </row>
    <row r="139" customFormat="false" ht="13.8" hidden="false" customHeight="false" outlineLevel="0" collapsed="false">
      <c r="B139" s="0" t="str">
        <f aca="false">HYPERLINK("https://genome.ucsc.edu/cgi-bin/hgTracks?db=hg19&amp;position=chr15%3A25584639%2D25584639", "chr15:25584639")</f>
        <v>chr15:25584639</v>
      </c>
      <c r="C139" s="0" t="s">
        <v>59</v>
      </c>
      <c r="D139" s="0" t="n">
        <v>25584639</v>
      </c>
      <c r="E139" s="0" t="n">
        <v>25584639</v>
      </c>
      <c r="F139" s="0" t="s">
        <v>40</v>
      </c>
      <c r="G139" s="0" t="s">
        <v>39</v>
      </c>
      <c r="H139" s="0" t="s">
        <v>1007</v>
      </c>
      <c r="I139" s="0" t="s">
        <v>1002</v>
      </c>
      <c r="J139" s="0" t="s">
        <v>1008</v>
      </c>
      <c r="K139" s="0" t="s">
        <v>50</v>
      </c>
      <c r="L139" s="0" t="str">
        <f aca="false">HYPERLINK("https://www.ncbi.nlm.nih.gov/snp/rs79688754", "rs79688754")</f>
        <v>rs79688754</v>
      </c>
      <c r="M139" s="0" t="str">
        <f aca="false">HYPERLINK("https://www.genecards.org/Search/Keyword?queryString=%5Baliases%5D(%20SNHG14%20)%20OR%20%5Baliases%5D(%20UBE3A%20)&amp;keywords=SNHG14,UBE3A", "SNHG14;UBE3A")</f>
        <v>SNHG14;UBE3A</v>
      </c>
      <c r="N139" s="0" t="s">
        <v>347</v>
      </c>
      <c r="O139" s="0" t="s">
        <v>50</v>
      </c>
      <c r="P139" s="0" t="s">
        <v>50</v>
      </c>
      <c r="Q139" s="0" t="n">
        <v>0.0106</v>
      </c>
      <c r="R139" s="0" t="n">
        <v>0.005</v>
      </c>
      <c r="S139" s="0" t="n">
        <v>0.0054</v>
      </c>
      <c r="T139" s="0" t="n">
        <v>-1</v>
      </c>
      <c r="U139" s="0" t="n">
        <v>0.0043</v>
      </c>
      <c r="V139" s="0" t="s">
        <v>50</v>
      </c>
      <c r="W139" s="0" t="s">
        <v>50</v>
      </c>
      <c r="X139" s="0" t="s">
        <v>50</v>
      </c>
      <c r="Y139" s="0" t="s">
        <v>50</v>
      </c>
      <c r="Z139" s="0" t="s">
        <v>50</v>
      </c>
      <c r="AA139" s="0" t="s">
        <v>50</v>
      </c>
      <c r="AB139" s="0" t="s">
        <v>50</v>
      </c>
      <c r="AC139" s="0" t="s">
        <v>53</v>
      </c>
      <c r="AD139" s="0" t="s">
        <v>997</v>
      </c>
      <c r="AE139" s="0" t="s">
        <v>1009</v>
      </c>
      <c r="AF139" s="0" t="s">
        <v>1010</v>
      </c>
      <c r="AG139" s="0" t="s">
        <v>1011</v>
      </c>
      <c r="AH139" s="0" t="s">
        <v>1012</v>
      </c>
      <c r="AI139" s="0" t="s">
        <v>50</v>
      </c>
      <c r="AJ139" s="0" t="s">
        <v>50</v>
      </c>
      <c r="AK139" s="0" t="s">
        <v>50</v>
      </c>
      <c r="AL139" s="0" t="s">
        <v>50</v>
      </c>
    </row>
    <row r="140" customFormat="false" ht="13.8" hidden="false" customHeight="false" outlineLevel="0" collapsed="false">
      <c r="B140" s="0" t="str">
        <f aca="false">HYPERLINK("https://genome.ucsc.edu/cgi-bin/hgTracks?db=hg19&amp;position=chr15%3A25601695%2D25601695", "chr15:25601695")</f>
        <v>chr15:25601695</v>
      </c>
      <c r="C140" s="0" t="s">
        <v>59</v>
      </c>
      <c r="D140" s="0" t="n">
        <v>25601695</v>
      </c>
      <c r="E140" s="0" t="n">
        <v>25601695</v>
      </c>
      <c r="F140" s="0" t="s">
        <v>74</v>
      </c>
      <c r="G140" s="0" t="s">
        <v>75</v>
      </c>
      <c r="H140" s="0" t="s">
        <v>1013</v>
      </c>
      <c r="I140" s="0" t="s">
        <v>480</v>
      </c>
      <c r="J140" s="0" t="s">
        <v>1014</v>
      </c>
      <c r="K140" s="0" t="s">
        <v>50</v>
      </c>
      <c r="L140" s="0" t="str">
        <f aca="false">HYPERLINK("https://www.ncbi.nlm.nih.gov/snp/rs146473582", "rs146473582")</f>
        <v>rs146473582</v>
      </c>
      <c r="M140" s="0" t="str">
        <f aca="false">HYPERLINK("https://www.genecards.org/Search/Keyword?queryString=%5Baliases%5D(%20SNHG14%20)%20OR%20%5Baliases%5D(%20UBE3A%20)&amp;keywords=SNHG14,UBE3A", "SNHG14;UBE3A")</f>
        <v>SNHG14;UBE3A</v>
      </c>
      <c r="N140" s="0" t="s">
        <v>347</v>
      </c>
      <c r="O140" s="0" t="s">
        <v>50</v>
      </c>
      <c r="P140" s="0" t="s">
        <v>50</v>
      </c>
      <c r="Q140" s="0" t="n">
        <v>0.0091</v>
      </c>
      <c r="R140" s="0" t="n">
        <v>0.0048</v>
      </c>
      <c r="S140" s="0" t="n">
        <v>0.0054</v>
      </c>
      <c r="T140" s="0" t="n">
        <v>-1</v>
      </c>
      <c r="U140" s="0" t="n">
        <v>0.0043</v>
      </c>
      <c r="V140" s="0" t="s">
        <v>50</v>
      </c>
      <c r="W140" s="0" t="s">
        <v>50</v>
      </c>
      <c r="X140" s="0" t="s">
        <v>348</v>
      </c>
      <c r="Y140" s="0" t="s">
        <v>82</v>
      </c>
      <c r="Z140" s="0" t="s">
        <v>50</v>
      </c>
      <c r="AA140" s="0" t="s">
        <v>50</v>
      </c>
      <c r="AB140" s="0" t="s">
        <v>50</v>
      </c>
      <c r="AC140" s="0" t="s">
        <v>53</v>
      </c>
      <c r="AD140" s="0" t="s">
        <v>997</v>
      </c>
      <c r="AE140" s="0" t="s">
        <v>1009</v>
      </c>
      <c r="AF140" s="0" t="s">
        <v>1010</v>
      </c>
      <c r="AG140" s="0" t="s">
        <v>1011</v>
      </c>
      <c r="AH140" s="0" t="s">
        <v>1012</v>
      </c>
      <c r="AI140" s="0" t="s">
        <v>50</v>
      </c>
      <c r="AJ140" s="0" t="s">
        <v>50</v>
      </c>
      <c r="AK140" s="0" t="s">
        <v>50</v>
      </c>
      <c r="AL140" s="0" t="s">
        <v>50</v>
      </c>
    </row>
    <row r="141" customFormat="false" ht="13.8" hidden="false" customHeight="false" outlineLevel="0" collapsed="false">
      <c r="B141" s="0" t="str">
        <f aca="false">HYPERLINK("https://genome.ucsc.edu/cgi-bin/hgTracks?db=hg19&amp;position=chr15%3A31521507%2D31521507", "chr15:31521507")</f>
        <v>chr15:31521507</v>
      </c>
      <c r="C141" s="0" t="s">
        <v>59</v>
      </c>
      <c r="D141" s="0" t="n">
        <v>31521507</v>
      </c>
      <c r="E141" s="0" t="n">
        <v>31521507</v>
      </c>
      <c r="F141" s="0" t="s">
        <v>74</v>
      </c>
      <c r="G141" s="0" t="s">
        <v>308</v>
      </c>
      <c r="H141" s="0" t="s">
        <v>1015</v>
      </c>
      <c r="I141" s="0" t="s">
        <v>299</v>
      </c>
      <c r="J141" s="0" t="s">
        <v>1016</v>
      </c>
      <c r="K141" s="0" t="s">
        <v>50</v>
      </c>
      <c r="L141" s="0" t="s">
        <v>50</v>
      </c>
      <c r="M141" s="0" t="str">
        <f aca="false">HYPERLINK("https://www.genecards.org/Search/Keyword?queryString=%5Baliases%5D(%20LOC283710%20)&amp;keywords=LOC283710", "LOC283710")</f>
        <v>LOC283710</v>
      </c>
      <c r="N141" s="0" t="s">
        <v>1017</v>
      </c>
      <c r="O141" s="0" t="s">
        <v>312</v>
      </c>
      <c r="P141" s="0" t="s">
        <v>1018</v>
      </c>
      <c r="Q141" s="0" t="n">
        <v>-1</v>
      </c>
      <c r="R141" s="0" t="n">
        <v>-1</v>
      </c>
      <c r="S141" s="0" t="n">
        <v>-1</v>
      </c>
      <c r="T141" s="0" t="n">
        <v>-1</v>
      </c>
      <c r="U141" s="0" t="n">
        <v>-1</v>
      </c>
      <c r="V141" s="0" t="s">
        <v>50</v>
      </c>
      <c r="W141" s="0" t="s">
        <v>50</v>
      </c>
      <c r="X141" s="0" t="s">
        <v>50</v>
      </c>
      <c r="Y141" s="0" t="s">
        <v>50</v>
      </c>
      <c r="Z141" s="0" t="s">
        <v>50</v>
      </c>
      <c r="AA141" s="0" t="s">
        <v>50</v>
      </c>
      <c r="AB141" s="0" t="s">
        <v>50</v>
      </c>
      <c r="AC141" s="0" t="s">
        <v>455</v>
      </c>
      <c r="AD141" s="0" t="s">
        <v>54</v>
      </c>
      <c r="AE141" s="0" t="s">
        <v>50</v>
      </c>
      <c r="AF141" s="0" t="s">
        <v>50</v>
      </c>
      <c r="AG141" s="0" t="s">
        <v>50</v>
      </c>
      <c r="AH141" s="0" t="s">
        <v>50</v>
      </c>
      <c r="AI141" s="0" t="s">
        <v>50</v>
      </c>
      <c r="AJ141" s="0" t="s">
        <v>50</v>
      </c>
      <c r="AK141" s="0" t="s">
        <v>50</v>
      </c>
      <c r="AL141" s="0" t="s">
        <v>50</v>
      </c>
    </row>
    <row r="142" customFormat="false" ht="13.8" hidden="false" customHeight="false" outlineLevel="0" collapsed="false">
      <c r="B142" s="0" t="str">
        <f aca="false">HYPERLINK("https://genome.ucsc.edu/cgi-bin/hgTracks?db=hg19&amp;position=chr15%3A42927310%2D42927310", "chr15:42927310")</f>
        <v>chr15:42927310</v>
      </c>
      <c r="C142" s="0" t="s">
        <v>59</v>
      </c>
      <c r="D142" s="0" t="n">
        <v>42927310</v>
      </c>
      <c r="E142" s="0" t="n">
        <v>42927310</v>
      </c>
      <c r="F142" s="0" t="s">
        <v>75</v>
      </c>
      <c r="G142" s="0" t="s">
        <v>74</v>
      </c>
      <c r="H142" s="0" t="s">
        <v>1019</v>
      </c>
      <c r="I142" s="0" t="s">
        <v>824</v>
      </c>
      <c r="J142" s="0" t="s">
        <v>1020</v>
      </c>
      <c r="K142" s="0" t="s">
        <v>50</v>
      </c>
      <c r="L142" s="0" t="s">
        <v>50</v>
      </c>
      <c r="M142" s="0" t="str">
        <f aca="false">HYPERLINK("https://www.genecards.org/Search/Keyword?queryString=%5Baliases%5D(%20STARD9%20)&amp;keywords=STARD9", "STARD9")</f>
        <v>STARD9</v>
      </c>
      <c r="N142" s="0" t="s">
        <v>80</v>
      </c>
      <c r="O142" s="0" t="s">
        <v>50</v>
      </c>
      <c r="P142" s="0" t="s">
        <v>50</v>
      </c>
      <c r="Q142" s="0" t="n">
        <v>0.0004</v>
      </c>
      <c r="R142" s="0" t="n">
        <v>0.0005</v>
      </c>
      <c r="S142" s="0" t="n">
        <v>0.0004</v>
      </c>
      <c r="T142" s="0" t="n">
        <v>-1</v>
      </c>
      <c r="U142" s="0" t="n">
        <v>0.0011</v>
      </c>
      <c r="V142" s="0" t="s">
        <v>50</v>
      </c>
      <c r="W142" s="0" t="s">
        <v>50</v>
      </c>
      <c r="X142" s="0" t="s">
        <v>49</v>
      </c>
      <c r="Y142" s="0" t="s">
        <v>82</v>
      </c>
      <c r="Z142" s="0" t="s">
        <v>50</v>
      </c>
      <c r="AA142" s="0" t="s">
        <v>50</v>
      </c>
      <c r="AB142" s="0" t="s">
        <v>50</v>
      </c>
      <c r="AC142" s="0" t="s">
        <v>53</v>
      </c>
      <c r="AD142" s="0" t="s">
        <v>54</v>
      </c>
      <c r="AE142" s="0" t="s">
        <v>50</v>
      </c>
      <c r="AF142" s="0" t="s">
        <v>1021</v>
      </c>
      <c r="AG142" s="0" t="s">
        <v>1022</v>
      </c>
      <c r="AH142" s="0" t="s">
        <v>50</v>
      </c>
      <c r="AI142" s="0" t="s">
        <v>50</v>
      </c>
      <c r="AJ142" s="0" t="s">
        <v>50</v>
      </c>
      <c r="AK142" s="0" t="s">
        <v>50</v>
      </c>
      <c r="AL142" s="0" t="s">
        <v>50</v>
      </c>
    </row>
    <row r="143" customFormat="false" ht="13.8" hidden="false" customHeight="false" outlineLevel="0" collapsed="false">
      <c r="B143" s="0" t="str">
        <f aca="false">HYPERLINK("https://genome.ucsc.edu/cgi-bin/hgTracks?db=hg19&amp;position=chr15%3A55841195%2D55841195", "chr15:55841195")</f>
        <v>chr15:55841195</v>
      </c>
      <c r="C143" s="0" t="s">
        <v>59</v>
      </c>
      <c r="D143" s="0" t="n">
        <v>55841195</v>
      </c>
      <c r="E143" s="0" t="n">
        <v>55841195</v>
      </c>
      <c r="F143" s="0" t="s">
        <v>308</v>
      </c>
      <c r="G143" s="0" t="s">
        <v>75</v>
      </c>
      <c r="H143" s="0" t="s">
        <v>1023</v>
      </c>
      <c r="I143" s="0" t="s">
        <v>1024</v>
      </c>
      <c r="J143" s="0" t="s">
        <v>1025</v>
      </c>
      <c r="K143" s="0" t="s">
        <v>50</v>
      </c>
      <c r="L143" s="0" t="s">
        <v>50</v>
      </c>
      <c r="M143" s="0" t="str">
        <f aca="false">HYPERLINK("https://www.genecards.org/Search/Keyword?queryString=%5Baliases%5D(%20PYGO1%20)&amp;keywords=PYGO1", "PYGO1")</f>
        <v>PYGO1</v>
      </c>
      <c r="N143" s="0" t="s">
        <v>64</v>
      </c>
      <c r="O143" s="0" t="s">
        <v>50</v>
      </c>
      <c r="P143" s="0" t="s">
        <v>1026</v>
      </c>
      <c r="Q143" s="0" t="n">
        <v>0.0204</v>
      </c>
      <c r="R143" s="0" t="n">
        <v>0.0107</v>
      </c>
      <c r="S143" s="0" t="n">
        <v>0.0077</v>
      </c>
      <c r="T143" s="0" t="n">
        <v>-1</v>
      </c>
      <c r="U143" s="0" t="n">
        <v>0.0288</v>
      </c>
      <c r="V143" s="0" t="s">
        <v>50</v>
      </c>
      <c r="W143" s="0" t="s">
        <v>50</v>
      </c>
      <c r="X143" s="0" t="s">
        <v>50</v>
      </c>
      <c r="Y143" s="0" t="s">
        <v>50</v>
      </c>
      <c r="Z143" s="0" t="s">
        <v>50</v>
      </c>
      <c r="AA143" s="0" t="s">
        <v>50</v>
      </c>
      <c r="AB143" s="0" t="s">
        <v>50</v>
      </c>
      <c r="AC143" s="0" t="s">
        <v>53</v>
      </c>
      <c r="AD143" s="0" t="s">
        <v>54</v>
      </c>
      <c r="AE143" s="0" t="s">
        <v>1027</v>
      </c>
      <c r="AF143" s="0" t="s">
        <v>1028</v>
      </c>
      <c r="AG143" s="0" t="s">
        <v>1029</v>
      </c>
      <c r="AH143" s="0" t="s">
        <v>50</v>
      </c>
      <c r="AI143" s="0" t="s">
        <v>50</v>
      </c>
      <c r="AJ143" s="0" t="s">
        <v>50</v>
      </c>
      <c r="AK143" s="0" t="s">
        <v>50</v>
      </c>
      <c r="AL143" s="0" t="s">
        <v>50</v>
      </c>
    </row>
    <row r="144" customFormat="false" ht="13.8" hidden="false" customHeight="false" outlineLevel="0" collapsed="false">
      <c r="B144" s="0" t="str">
        <f aca="false">HYPERLINK("https://genome.ucsc.edu/cgi-bin/hgTracks?db=hg19&amp;position=chr15%3A64458281%2D64458281", "chr15:64458281")</f>
        <v>chr15:64458281</v>
      </c>
      <c r="C144" s="0" t="s">
        <v>59</v>
      </c>
      <c r="D144" s="0" t="n">
        <v>64458281</v>
      </c>
      <c r="E144" s="0" t="n">
        <v>64458281</v>
      </c>
      <c r="F144" s="0" t="s">
        <v>308</v>
      </c>
      <c r="G144" s="0" t="s">
        <v>75</v>
      </c>
      <c r="H144" s="0" t="s">
        <v>1030</v>
      </c>
      <c r="I144" s="0" t="s">
        <v>138</v>
      </c>
      <c r="J144" s="0" t="s">
        <v>1031</v>
      </c>
      <c r="K144" s="0" t="s">
        <v>50</v>
      </c>
      <c r="L144" s="0" t="str">
        <f aca="false">HYPERLINK("https://www.ncbi.nlm.nih.gov/snp/rs764974184", "rs764974184")</f>
        <v>rs764974184</v>
      </c>
      <c r="M144" s="0" t="str">
        <f aca="false">HYPERLINK("https://www.genecards.org/Search/Keyword?queryString=%5Baliases%5D(%20CSNK1G1%20)&amp;keywords=CSNK1G1", "CSNK1G1")</f>
        <v>CSNK1G1</v>
      </c>
      <c r="N144" s="0" t="s">
        <v>64</v>
      </c>
      <c r="O144" s="0" t="s">
        <v>50</v>
      </c>
      <c r="P144" s="0" t="s">
        <v>1032</v>
      </c>
      <c r="Q144" s="0" t="n">
        <v>0.0109</v>
      </c>
      <c r="R144" s="0" t="n">
        <v>0.0061</v>
      </c>
      <c r="S144" s="0" t="n">
        <v>0.0023</v>
      </c>
      <c r="T144" s="0" t="n">
        <v>-1</v>
      </c>
      <c r="U144" s="0" t="n">
        <v>0.0032</v>
      </c>
      <c r="V144" s="0" t="s">
        <v>50</v>
      </c>
      <c r="W144" s="0" t="s">
        <v>50</v>
      </c>
      <c r="X144" s="0" t="s">
        <v>50</v>
      </c>
      <c r="Y144" s="0" t="s">
        <v>50</v>
      </c>
      <c r="Z144" s="0" t="s">
        <v>50</v>
      </c>
      <c r="AA144" s="0" t="s">
        <v>50</v>
      </c>
      <c r="AB144" s="0" t="s">
        <v>50</v>
      </c>
      <c r="AC144" s="0" t="s">
        <v>53</v>
      </c>
      <c r="AD144" s="0" t="s">
        <v>54</v>
      </c>
      <c r="AE144" s="0" t="s">
        <v>1033</v>
      </c>
      <c r="AF144" s="0" t="s">
        <v>1034</v>
      </c>
      <c r="AG144" s="0" t="s">
        <v>1035</v>
      </c>
      <c r="AH144" s="0" t="s">
        <v>50</v>
      </c>
      <c r="AI144" s="0" t="s">
        <v>50</v>
      </c>
      <c r="AJ144" s="0" t="s">
        <v>50</v>
      </c>
      <c r="AK144" s="0" t="s">
        <v>50</v>
      </c>
      <c r="AL144" s="0" t="s">
        <v>50</v>
      </c>
    </row>
    <row r="145" customFormat="false" ht="13.8" hidden="false" customHeight="false" outlineLevel="0" collapsed="false">
      <c r="B145" s="0" t="str">
        <f aca="false">HYPERLINK("https://genome.ucsc.edu/cgi-bin/hgTracks?db=hg19&amp;position=chr15%3A99192763%2D99192763", "chr15:99192763")</f>
        <v>chr15:99192763</v>
      </c>
      <c r="C145" s="0" t="s">
        <v>59</v>
      </c>
      <c r="D145" s="0" t="n">
        <v>99192763</v>
      </c>
      <c r="E145" s="0" t="n">
        <v>99192763</v>
      </c>
      <c r="F145" s="0" t="s">
        <v>40</v>
      </c>
      <c r="G145" s="0" t="s">
        <v>308</v>
      </c>
      <c r="H145" s="0" t="s">
        <v>1036</v>
      </c>
      <c r="I145" s="0" t="s">
        <v>1037</v>
      </c>
      <c r="J145" s="0" t="s">
        <v>1038</v>
      </c>
      <c r="K145" s="0" t="s">
        <v>50</v>
      </c>
      <c r="L145" s="0" t="s">
        <v>50</v>
      </c>
      <c r="M145" s="0" t="str">
        <f aca="false">HYPERLINK("https://www.genecards.org/Search/Keyword?queryString=%5Baliases%5D(%20IGF1R%20)%20OR%20%5Baliases%5D(%20IRAIN%20)&amp;keywords=IGF1R,IRAIN", "IGF1R;IRAIN")</f>
        <v>IGF1R;IRAIN</v>
      </c>
      <c r="N145" s="0" t="s">
        <v>1039</v>
      </c>
      <c r="O145" s="0" t="s">
        <v>50</v>
      </c>
      <c r="P145" s="0" t="s">
        <v>1040</v>
      </c>
      <c r="Q145" s="0" t="n">
        <v>-1</v>
      </c>
      <c r="R145" s="0" t="n">
        <v>-1</v>
      </c>
      <c r="S145" s="0" t="n">
        <v>-1</v>
      </c>
      <c r="T145" s="0" t="n">
        <v>-1</v>
      </c>
      <c r="U145" s="0" t="n">
        <v>-1</v>
      </c>
      <c r="V145" s="0" t="s">
        <v>50</v>
      </c>
      <c r="W145" s="0" t="s">
        <v>50</v>
      </c>
      <c r="X145" s="0" t="s">
        <v>50</v>
      </c>
      <c r="Y145" s="0" t="s">
        <v>50</v>
      </c>
      <c r="Z145" s="0" t="s">
        <v>50</v>
      </c>
      <c r="AA145" s="0" t="s">
        <v>50</v>
      </c>
      <c r="AB145" s="0" t="s">
        <v>50</v>
      </c>
      <c r="AC145" s="0" t="s">
        <v>455</v>
      </c>
      <c r="AD145" s="0" t="s">
        <v>1041</v>
      </c>
      <c r="AE145" s="0" t="s">
        <v>1042</v>
      </c>
      <c r="AF145" s="0" t="s">
        <v>1043</v>
      </c>
      <c r="AG145" s="0" t="s">
        <v>1044</v>
      </c>
      <c r="AH145" s="0" t="s">
        <v>1045</v>
      </c>
      <c r="AI145" s="0" t="s">
        <v>50</v>
      </c>
      <c r="AJ145" s="0" t="s">
        <v>50</v>
      </c>
      <c r="AK145" s="0" t="s">
        <v>50</v>
      </c>
      <c r="AL145" s="0" t="s">
        <v>50</v>
      </c>
    </row>
    <row r="146" customFormat="false" ht="13.8" hidden="false" customHeight="false" outlineLevel="0" collapsed="false">
      <c r="B146" s="0" t="str">
        <f aca="false">HYPERLINK("https://genome.ucsc.edu/cgi-bin/hgTracks?db=hg19&amp;position=chr15%3A99506444%2D99506444", "chr15:99506444")</f>
        <v>chr15:99506444</v>
      </c>
      <c r="C146" s="0" t="s">
        <v>59</v>
      </c>
      <c r="D146" s="0" t="n">
        <v>99506444</v>
      </c>
      <c r="E146" s="0" t="n">
        <v>99506444</v>
      </c>
      <c r="F146" s="0" t="s">
        <v>40</v>
      </c>
      <c r="G146" s="0" t="s">
        <v>308</v>
      </c>
      <c r="H146" s="0" t="s">
        <v>1046</v>
      </c>
      <c r="I146" s="0" t="s">
        <v>1047</v>
      </c>
      <c r="J146" s="0" t="s">
        <v>1048</v>
      </c>
      <c r="K146" s="0" t="s">
        <v>50</v>
      </c>
      <c r="L146" s="0" t="s">
        <v>50</v>
      </c>
      <c r="M146" s="0" t="str">
        <f aca="false">HYPERLINK("https://www.genecards.org/Search/Keyword?queryString=%5Baliases%5D(%20IGF1R%20)&amp;keywords=IGF1R", "IGF1R")</f>
        <v>IGF1R</v>
      </c>
      <c r="N146" s="0" t="s">
        <v>282</v>
      </c>
      <c r="O146" s="0" t="s">
        <v>50</v>
      </c>
      <c r="P146" s="0" t="s">
        <v>1049</v>
      </c>
      <c r="Q146" s="0" t="n">
        <v>-1</v>
      </c>
      <c r="R146" s="0" t="n">
        <v>-1</v>
      </c>
      <c r="S146" s="0" t="n">
        <v>-1</v>
      </c>
      <c r="T146" s="0" t="n">
        <v>-1</v>
      </c>
      <c r="U146" s="0" t="n">
        <v>-1</v>
      </c>
      <c r="V146" s="0" t="s">
        <v>50</v>
      </c>
      <c r="W146" s="0" t="s">
        <v>50</v>
      </c>
      <c r="X146" s="0" t="s">
        <v>50</v>
      </c>
      <c r="Y146" s="0" t="s">
        <v>50</v>
      </c>
      <c r="Z146" s="0" t="s">
        <v>50</v>
      </c>
      <c r="AA146" s="0" t="s">
        <v>50</v>
      </c>
      <c r="AB146" s="0" t="s">
        <v>50</v>
      </c>
      <c r="AC146" s="0" t="s">
        <v>455</v>
      </c>
      <c r="AD146" s="0" t="s">
        <v>226</v>
      </c>
      <c r="AE146" s="0" t="s">
        <v>1042</v>
      </c>
      <c r="AF146" s="0" t="s">
        <v>1050</v>
      </c>
      <c r="AG146" s="0" t="s">
        <v>1044</v>
      </c>
      <c r="AH146" s="0" t="s">
        <v>1045</v>
      </c>
      <c r="AI146" s="0" t="s">
        <v>50</v>
      </c>
      <c r="AJ146" s="0" t="s">
        <v>50</v>
      </c>
      <c r="AK146" s="0" t="s">
        <v>50</v>
      </c>
      <c r="AL146" s="0" t="s">
        <v>50</v>
      </c>
    </row>
    <row r="147" customFormat="false" ht="13.8" hidden="false" customHeight="false" outlineLevel="0" collapsed="false">
      <c r="B147" s="0" t="str">
        <f aca="false">HYPERLINK("https://genome.ucsc.edu/cgi-bin/hgTracks?db=hg19&amp;position=chr16%3A15710767%2D15710767", "chr16:15710767")</f>
        <v>chr16:15710767</v>
      </c>
      <c r="C147" s="0" t="s">
        <v>459</v>
      </c>
      <c r="D147" s="0" t="n">
        <v>15710767</v>
      </c>
      <c r="E147" s="0" t="n">
        <v>15710767</v>
      </c>
      <c r="F147" s="0" t="s">
        <v>40</v>
      </c>
      <c r="G147" s="0" t="s">
        <v>39</v>
      </c>
      <c r="H147" s="0" t="s">
        <v>1051</v>
      </c>
      <c r="I147" s="0" t="s">
        <v>1052</v>
      </c>
      <c r="J147" s="0" t="s">
        <v>1053</v>
      </c>
      <c r="K147" s="0" t="s">
        <v>50</v>
      </c>
      <c r="L147" s="0" t="s">
        <v>50</v>
      </c>
      <c r="M147" s="0" t="str">
        <f aca="false">HYPERLINK("https://www.genecards.org/Search/Keyword?queryString=%5Baliases%5D(%20KIAA0430%20)%20OR%20%5Baliases%5D(%20MARF1%20)&amp;keywords=KIAA0430,MARF1", "KIAA0430;MARF1")</f>
        <v>KIAA0430;MARF1</v>
      </c>
      <c r="N147" s="0" t="s">
        <v>80</v>
      </c>
      <c r="O147" s="0" t="s">
        <v>50</v>
      </c>
      <c r="P147" s="0" t="s">
        <v>50</v>
      </c>
      <c r="Q147" s="0" t="n">
        <v>7.179E-005</v>
      </c>
      <c r="R147" s="0" t="n">
        <v>9.017E-005</v>
      </c>
      <c r="S147" s="0" t="n">
        <v>-1</v>
      </c>
      <c r="T147" s="0" t="n">
        <v>-1</v>
      </c>
      <c r="U147" s="0" t="n">
        <v>-1</v>
      </c>
      <c r="V147" s="0" t="s">
        <v>50</v>
      </c>
      <c r="W147" s="0" t="s">
        <v>50</v>
      </c>
      <c r="X147" s="0" t="s">
        <v>81</v>
      </c>
      <c r="Y147" s="0" t="s">
        <v>82</v>
      </c>
      <c r="Z147" s="0" t="s">
        <v>50</v>
      </c>
      <c r="AA147" s="0" t="s">
        <v>50</v>
      </c>
      <c r="AB147" s="0" t="s">
        <v>50</v>
      </c>
      <c r="AC147" s="0" t="s">
        <v>53</v>
      </c>
      <c r="AD147" s="0" t="s">
        <v>157</v>
      </c>
      <c r="AE147" s="0" t="s">
        <v>1054</v>
      </c>
      <c r="AF147" s="0" t="s">
        <v>1055</v>
      </c>
      <c r="AG147" s="0" t="s">
        <v>1056</v>
      </c>
      <c r="AH147" s="0" t="s">
        <v>50</v>
      </c>
      <c r="AI147" s="0" t="s">
        <v>50</v>
      </c>
      <c r="AJ147" s="0" t="s">
        <v>50</v>
      </c>
      <c r="AK147" s="0" t="s">
        <v>50</v>
      </c>
      <c r="AL147" s="0" t="s">
        <v>50</v>
      </c>
    </row>
    <row r="148" customFormat="false" ht="13.8" hidden="false" customHeight="false" outlineLevel="0" collapsed="false">
      <c r="B148" s="0" t="str">
        <f aca="false">HYPERLINK("https://genome.ucsc.edu/cgi-bin/hgTracks?db=hg19&amp;position=chr16%3A23698588%2D23698588", "chr16:23698588")</f>
        <v>chr16:23698588</v>
      </c>
      <c r="C148" s="0" t="s">
        <v>459</v>
      </c>
      <c r="D148" s="0" t="n">
        <v>23698588</v>
      </c>
      <c r="E148" s="0" t="n">
        <v>23698588</v>
      </c>
      <c r="F148" s="0" t="s">
        <v>39</v>
      </c>
      <c r="G148" s="0" t="s">
        <v>40</v>
      </c>
      <c r="H148" s="0" t="s">
        <v>1057</v>
      </c>
      <c r="I148" s="0" t="s">
        <v>1058</v>
      </c>
      <c r="J148" s="0" t="s">
        <v>1059</v>
      </c>
      <c r="K148" s="0" t="s">
        <v>50</v>
      </c>
      <c r="L148" s="0" t="str">
        <f aca="false">HYPERLINK("https://www.ncbi.nlm.nih.gov/snp/rs556598228", "rs556598228")</f>
        <v>rs556598228</v>
      </c>
      <c r="M148" s="0" t="str">
        <f aca="false">HYPERLINK("https://www.genecards.org/Search/Keyword?queryString=%5Baliases%5D(%20PLK1%20)&amp;keywords=PLK1", "PLK1")</f>
        <v>PLK1</v>
      </c>
      <c r="N148" s="0" t="s">
        <v>390</v>
      </c>
      <c r="O148" s="0" t="s">
        <v>50</v>
      </c>
      <c r="P148" s="0" t="s">
        <v>50</v>
      </c>
      <c r="Q148" s="0" t="n">
        <v>0.0014</v>
      </c>
      <c r="R148" s="0" t="n">
        <v>-1</v>
      </c>
      <c r="S148" s="0" t="n">
        <v>-1</v>
      </c>
      <c r="T148" s="0" t="n">
        <v>-1</v>
      </c>
      <c r="U148" s="0" t="n">
        <v>-1</v>
      </c>
      <c r="V148" s="0" t="s">
        <v>50</v>
      </c>
      <c r="W148" s="0" t="s">
        <v>50</v>
      </c>
      <c r="X148" s="0" t="s">
        <v>50</v>
      </c>
      <c r="Y148" s="0" t="s">
        <v>50</v>
      </c>
      <c r="Z148" s="0" t="s">
        <v>50</v>
      </c>
      <c r="AA148" s="0" t="s">
        <v>50</v>
      </c>
      <c r="AB148" s="0" t="s">
        <v>50</v>
      </c>
      <c r="AC148" s="0" t="s">
        <v>53</v>
      </c>
      <c r="AD148" s="0" t="s">
        <v>54</v>
      </c>
      <c r="AE148" s="0" t="s">
        <v>1060</v>
      </c>
      <c r="AF148" s="0" t="s">
        <v>1061</v>
      </c>
      <c r="AG148" s="0" t="s">
        <v>1062</v>
      </c>
      <c r="AH148" s="0" t="s">
        <v>1063</v>
      </c>
      <c r="AI148" s="0" t="s">
        <v>50</v>
      </c>
      <c r="AJ148" s="0" t="s">
        <v>50</v>
      </c>
      <c r="AK148" s="0" t="s">
        <v>50</v>
      </c>
      <c r="AL148" s="0" t="s">
        <v>50</v>
      </c>
    </row>
    <row r="149" customFormat="false" ht="13.8" hidden="false" customHeight="false" outlineLevel="0" collapsed="false">
      <c r="B149" s="0" t="str">
        <f aca="false">HYPERLINK("https://genome.ucsc.edu/cgi-bin/hgTracks?db=hg19&amp;position=chr16%3A29496932%2D29496938", "chr16:29496932")</f>
        <v>chr16:29496932</v>
      </c>
      <c r="C149" s="0" t="s">
        <v>459</v>
      </c>
      <c r="D149" s="0" t="n">
        <v>29496932</v>
      </c>
      <c r="E149" s="0" t="n">
        <v>29496938</v>
      </c>
      <c r="F149" s="0" t="s">
        <v>1064</v>
      </c>
      <c r="G149" s="0" t="s">
        <v>308</v>
      </c>
      <c r="H149" s="0" t="s">
        <v>1065</v>
      </c>
      <c r="I149" s="0" t="s">
        <v>1066</v>
      </c>
      <c r="J149" s="0" t="s">
        <v>1067</v>
      </c>
      <c r="K149" s="0" t="s">
        <v>50</v>
      </c>
      <c r="L149" s="0" t="s">
        <v>50</v>
      </c>
      <c r="M149" s="0" t="str">
        <f aca="false">HYPERLINK("https://www.genecards.org/Search/Keyword?queryString=%5Baliases%5D(%20LOC440354%20)%20OR%20%5Baliases%5D(%20NPIPB12%20)&amp;keywords=LOC440354,NPIPB12", "LOC440354;NPIPB12")</f>
        <v>LOC440354;NPIPB12</v>
      </c>
      <c r="N149" s="0" t="s">
        <v>1068</v>
      </c>
      <c r="O149" s="0" t="s">
        <v>312</v>
      </c>
      <c r="P149" s="0" t="s">
        <v>1069</v>
      </c>
      <c r="Q149" s="0" t="n">
        <v>0.0225</v>
      </c>
      <c r="R149" s="0" t="n">
        <v>0.0164</v>
      </c>
      <c r="S149" s="0" t="n">
        <v>0.021</v>
      </c>
      <c r="T149" s="0" t="n">
        <v>-1</v>
      </c>
      <c r="U149" s="0" t="n">
        <v>0.0228</v>
      </c>
      <c r="V149" s="0" t="s">
        <v>50</v>
      </c>
      <c r="W149" s="0" t="s">
        <v>50</v>
      </c>
      <c r="X149" s="0" t="s">
        <v>50</v>
      </c>
      <c r="Y149" s="0" t="s">
        <v>50</v>
      </c>
      <c r="Z149" s="0" t="s">
        <v>50</v>
      </c>
      <c r="AA149" s="0" t="s">
        <v>50</v>
      </c>
      <c r="AB149" s="0" t="s">
        <v>50</v>
      </c>
      <c r="AC149" s="0" t="s">
        <v>53</v>
      </c>
      <c r="AD149" s="0" t="s">
        <v>997</v>
      </c>
      <c r="AE149" s="0" t="s">
        <v>50</v>
      </c>
      <c r="AF149" s="0" t="s">
        <v>50</v>
      </c>
      <c r="AG149" s="0" t="s">
        <v>50</v>
      </c>
      <c r="AH149" s="0" t="s">
        <v>50</v>
      </c>
      <c r="AI149" s="0" t="s">
        <v>632</v>
      </c>
      <c r="AJ149" s="0" t="s">
        <v>50</v>
      </c>
      <c r="AK149" s="0" t="s">
        <v>50</v>
      </c>
      <c r="AL149" s="0" t="s">
        <v>50</v>
      </c>
    </row>
    <row r="150" customFormat="false" ht="13.8" hidden="false" customHeight="false" outlineLevel="0" collapsed="false">
      <c r="B150" s="0" t="str">
        <f aca="false">HYPERLINK("https://genome.ucsc.edu/cgi-bin/hgTracks?db=hg19&amp;position=chr16%3A29496940%2D29496989", "chr16:29496940")</f>
        <v>chr16:29496940</v>
      </c>
      <c r="C150" s="0" t="s">
        <v>459</v>
      </c>
      <c r="D150" s="0" t="n">
        <v>29496940</v>
      </c>
      <c r="E150" s="0" t="n">
        <v>29496989</v>
      </c>
      <c r="F150" s="0" t="s">
        <v>1070</v>
      </c>
      <c r="G150" s="0" t="s">
        <v>308</v>
      </c>
      <c r="H150" s="0" t="s">
        <v>1071</v>
      </c>
      <c r="I150" s="0" t="s">
        <v>835</v>
      </c>
      <c r="J150" s="0" t="s">
        <v>1072</v>
      </c>
      <c r="K150" s="0" t="s">
        <v>50</v>
      </c>
      <c r="L150" s="0" t="s">
        <v>50</v>
      </c>
      <c r="M150" s="0" t="str">
        <f aca="false">HYPERLINK("https://www.genecards.org/Search/Keyword?queryString=%5Baliases%5D(%20LOC440354%20)%20OR%20%5Baliases%5D(%20NPIPB12%20)&amp;keywords=LOC440354,NPIPB12", "LOC440354;NPIPB12")</f>
        <v>LOC440354;NPIPB12</v>
      </c>
      <c r="N150" s="0" t="s">
        <v>1068</v>
      </c>
      <c r="O150" s="0" t="s">
        <v>312</v>
      </c>
      <c r="P150" s="0" t="s">
        <v>1073</v>
      </c>
      <c r="Q150" s="0" t="n">
        <v>0.0298</v>
      </c>
      <c r="R150" s="0" t="n">
        <v>0.0296</v>
      </c>
      <c r="S150" s="0" t="n">
        <v>0.0288</v>
      </c>
      <c r="T150" s="0" t="n">
        <v>-1</v>
      </c>
      <c r="U150" s="0" t="n">
        <v>0.0321</v>
      </c>
      <c r="V150" s="0" t="s">
        <v>50</v>
      </c>
      <c r="W150" s="0" t="s">
        <v>50</v>
      </c>
      <c r="X150" s="0" t="s">
        <v>50</v>
      </c>
      <c r="Y150" s="0" t="s">
        <v>50</v>
      </c>
      <c r="Z150" s="0" t="s">
        <v>50</v>
      </c>
      <c r="AA150" s="0" t="s">
        <v>50</v>
      </c>
      <c r="AB150" s="0" t="s">
        <v>50</v>
      </c>
      <c r="AC150" s="0" t="s">
        <v>53</v>
      </c>
      <c r="AD150" s="0" t="s">
        <v>997</v>
      </c>
      <c r="AE150" s="0" t="s">
        <v>50</v>
      </c>
      <c r="AF150" s="0" t="s">
        <v>50</v>
      </c>
      <c r="AG150" s="0" t="s">
        <v>50</v>
      </c>
      <c r="AH150" s="0" t="s">
        <v>50</v>
      </c>
      <c r="AI150" s="0" t="s">
        <v>50</v>
      </c>
      <c r="AJ150" s="0" t="s">
        <v>50</v>
      </c>
      <c r="AK150" s="0" t="s">
        <v>50</v>
      </c>
      <c r="AL150" s="0" t="s">
        <v>50</v>
      </c>
    </row>
    <row r="151" customFormat="false" ht="13.8" hidden="false" customHeight="false" outlineLevel="0" collapsed="false">
      <c r="B151" s="0" t="str">
        <f aca="false">HYPERLINK("https://genome.ucsc.edu/cgi-bin/hgTracks?db=hg19&amp;position=chr16%3A31199724%2D31199724", "chr16:31199724")</f>
        <v>chr16:31199724</v>
      </c>
      <c r="C151" s="0" t="s">
        <v>459</v>
      </c>
      <c r="D151" s="0" t="n">
        <v>31199724</v>
      </c>
      <c r="E151" s="0" t="n">
        <v>31199724</v>
      </c>
      <c r="F151" s="0" t="s">
        <v>39</v>
      </c>
      <c r="G151" s="0" t="s">
        <v>74</v>
      </c>
      <c r="H151" s="0" t="s">
        <v>1074</v>
      </c>
      <c r="I151" s="0" t="s">
        <v>655</v>
      </c>
      <c r="J151" s="0" t="s">
        <v>1075</v>
      </c>
      <c r="K151" s="0" t="s">
        <v>50</v>
      </c>
      <c r="L151" s="0" t="str">
        <f aca="false">HYPERLINK("https://www.ncbi.nlm.nih.gov/snp/rs201544187", "rs201544187")</f>
        <v>rs201544187</v>
      </c>
      <c r="M151" s="0" t="str">
        <f aca="false">HYPERLINK("https://www.genecards.org/Search/Keyword?queryString=%5Baliases%5D(%20FUS%20)&amp;keywords=FUS", "FUS")</f>
        <v>FUS</v>
      </c>
      <c r="N151" s="0" t="s">
        <v>80</v>
      </c>
      <c r="O151" s="0" t="s">
        <v>50</v>
      </c>
      <c r="P151" s="0" t="s">
        <v>50</v>
      </c>
      <c r="Q151" s="0" t="n">
        <v>0.0027</v>
      </c>
      <c r="R151" s="0" t="n">
        <v>0.0034</v>
      </c>
      <c r="S151" s="0" t="n">
        <v>0.003</v>
      </c>
      <c r="T151" s="0" t="n">
        <v>-1</v>
      </c>
      <c r="U151" s="0" t="n">
        <v>0.0059</v>
      </c>
      <c r="V151" s="0" t="s">
        <v>50</v>
      </c>
      <c r="W151" s="0" t="s">
        <v>50</v>
      </c>
      <c r="X151" s="0" t="s">
        <v>49</v>
      </c>
      <c r="Y151" s="0" t="s">
        <v>82</v>
      </c>
      <c r="Z151" s="0" t="s">
        <v>50</v>
      </c>
      <c r="AA151" s="0" t="s">
        <v>50</v>
      </c>
      <c r="AB151" s="0" t="s">
        <v>50</v>
      </c>
      <c r="AC151" s="0" t="s">
        <v>53</v>
      </c>
      <c r="AD151" s="0" t="s">
        <v>54</v>
      </c>
      <c r="AE151" s="0" t="s">
        <v>1076</v>
      </c>
      <c r="AF151" s="0" t="s">
        <v>1077</v>
      </c>
      <c r="AG151" s="0" t="s">
        <v>1078</v>
      </c>
      <c r="AH151" s="0" t="s">
        <v>1079</v>
      </c>
      <c r="AI151" s="0" t="s">
        <v>50</v>
      </c>
      <c r="AJ151" s="0" t="s">
        <v>50</v>
      </c>
      <c r="AK151" s="0" t="s">
        <v>50</v>
      </c>
      <c r="AL151" s="0" t="s">
        <v>50</v>
      </c>
    </row>
    <row r="152" customFormat="false" ht="13.8" hidden="false" customHeight="false" outlineLevel="0" collapsed="false">
      <c r="B152" s="0" t="str">
        <f aca="false">HYPERLINK("https://genome.ucsc.edu/cgi-bin/hgTracks?db=hg19&amp;position=chr16%3A66860551%2D66860551", "chr16:66860551")</f>
        <v>chr16:66860551</v>
      </c>
      <c r="C152" s="0" t="s">
        <v>459</v>
      </c>
      <c r="D152" s="0" t="n">
        <v>66860551</v>
      </c>
      <c r="E152" s="0" t="n">
        <v>66860551</v>
      </c>
      <c r="F152" s="0" t="s">
        <v>40</v>
      </c>
      <c r="G152" s="0" t="s">
        <v>39</v>
      </c>
      <c r="H152" s="0" t="s">
        <v>1080</v>
      </c>
      <c r="I152" s="0" t="s">
        <v>689</v>
      </c>
      <c r="J152" s="0" t="s">
        <v>1081</v>
      </c>
      <c r="K152" s="0" t="s">
        <v>50</v>
      </c>
      <c r="L152" s="0" t="str">
        <f aca="false">HYPERLINK("https://www.ncbi.nlm.nih.gov/snp/rs768308012", "rs768308012")</f>
        <v>rs768308012</v>
      </c>
      <c r="M152" s="0" t="str">
        <f aca="false">HYPERLINK("https://www.genecards.org/Search/Keyword?queryString=%5Baliases%5D(%20NAE1%20)&amp;keywords=NAE1", "NAE1")</f>
        <v>NAE1</v>
      </c>
      <c r="N152" s="0" t="s">
        <v>80</v>
      </c>
      <c r="O152" s="0" t="s">
        <v>50</v>
      </c>
      <c r="P152" s="0" t="s">
        <v>50</v>
      </c>
      <c r="Q152" s="0" t="n">
        <v>0.0004</v>
      </c>
      <c r="R152" s="0" t="n">
        <v>0.0005</v>
      </c>
      <c r="S152" s="0" t="n">
        <v>0.0004</v>
      </c>
      <c r="T152" s="0" t="n">
        <v>-1</v>
      </c>
      <c r="U152" s="0" t="n">
        <v>0.0009</v>
      </c>
      <c r="V152" s="0" t="s">
        <v>50</v>
      </c>
      <c r="W152" s="0" t="s">
        <v>50</v>
      </c>
      <c r="X152" s="0" t="s">
        <v>81</v>
      </c>
      <c r="Y152" s="0" t="s">
        <v>82</v>
      </c>
      <c r="Z152" s="0" t="s">
        <v>50</v>
      </c>
      <c r="AA152" s="0" t="s">
        <v>50</v>
      </c>
      <c r="AB152" s="0" t="s">
        <v>50</v>
      </c>
      <c r="AC152" s="0" t="s">
        <v>53</v>
      </c>
      <c r="AD152" s="0" t="s">
        <v>54</v>
      </c>
      <c r="AE152" s="0" t="s">
        <v>1082</v>
      </c>
      <c r="AF152" s="0" t="s">
        <v>1083</v>
      </c>
      <c r="AG152" s="0" t="s">
        <v>1084</v>
      </c>
      <c r="AH152" s="0" t="s">
        <v>50</v>
      </c>
      <c r="AI152" s="0" t="s">
        <v>50</v>
      </c>
      <c r="AJ152" s="0" t="s">
        <v>50</v>
      </c>
      <c r="AK152" s="0" t="s">
        <v>50</v>
      </c>
      <c r="AL152" s="0" t="s">
        <v>50</v>
      </c>
    </row>
    <row r="153" customFormat="false" ht="13.8" hidden="false" customHeight="false" outlineLevel="0" collapsed="false">
      <c r="B153" s="0" t="str">
        <f aca="false">HYPERLINK("https://genome.ucsc.edu/cgi-bin/hgTracks?db=hg19&amp;position=chr16%3A67687986%2D67687986", "chr16:67687986")</f>
        <v>chr16:67687986</v>
      </c>
      <c r="C153" s="0" t="s">
        <v>459</v>
      </c>
      <c r="D153" s="0" t="n">
        <v>67687986</v>
      </c>
      <c r="E153" s="0" t="n">
        <v>67687986</v>
      </c>
      <c r="F153" s="0" t="s">
        <v>74</v>
      </c>
      <c r="G153" s="0" t="s">
        <v>75</v>
      </c>
      <c r="H153" s="0" t="s">
        <v>1085</v>
      </c>
      <c r="I153" s="0" t="s">
        <v>1052</v>
      </c>
      <c r="J153" s="0" t="s">
        <v>1053</v>
      </c>
      <c r="K153" s="0" t="s">
        <v>50</v>
      </c>
      <c r="L153" s="0" t="str">
        <f aca="false">HYPERLINK("https://www.ncbi.nlm.nih.gov/snp/rs868816803", "rs868816803")</f>
        <v>rs868816803</v>
      </c>
      <c r="M153" s="0" t="str">
        <f aca="false">HYPERLINK("https://www.genecards.org/Search/Keyword?queryString=%5Baliases%5D(%20CARMIL2%20)%20OR%20%5Baliases%5D(%20RLTPR%20)&amp;keywords=CARMIL2,RLTPR", "CARMIL2;RLTPR")</f>
        <v>CARMIL2;RLTPR</v>
      </c>
      <c r="N153" s="0" t="s">
        <v>80</v>
      </c>
      <c r="O153" s="0" t="s">
        <v>50</v>
      </c>
      <c r="P153" s="0" t="s">
        <v>50</v>
      </c>
      <c r="Q153" s="0" t="n">
        <v>-1</v>
      </c>
      <c r="R153" s="0" t="n">
        <v>-1</v>
      </c>
      <c r="S153" s="0" t="n">
        <v>-1</v>
      </c>
      <c r="T153" s="0" t="n">
        <v>-1</v>
      </c>
      <c r="U153" s="0" t="n">
        <v>-1</v>
      </c>
      <c r="V153" s="0" t="s">
        <v>50</v>
      </c>
      <c r="W153" s="0" t="s">
        <v>50</v>
      </c>
      <c r="X153" s="0" t="s">
        <v>81</v>
      </c>
      <c r="Y153" s="0" t="s">
        <v>82</v>
      </c>
      <c r="Z153" s="0" t="s">
        <v>50</v>
      </c>
      <c r="AA153" s="0" t="s">
        <v>50</v>
      </c>
      <c r="AB153" s="0" t="s">
        <v>50</v>
      </c>
      <c r="AC153" s="0" t="s">
        <v>53</v>
      </c>
      <c r="AD153" s="0" t="s">
        <v>157</v>
      </c>
      <c r="AE153" s="0" t="s">
        <v>1086</v>
      </c>
      <c r="AF153" s="0" t="s">
        <v>1087</v>
      </c>
      <c r="AG153" s="0" t="s">
        <v>50</v>
      </c>
      <c r="AH153" s="0" t="s">
        <v>50</v>
      </c>
      <c r="AI153" s="0" t="s">
        <v>50</v>
      </c>
      <c r="AJ153" s="0" t="s">
        <v>50</v>
      </c>
      <c r="AK153" s="0" t="s">
        <v>50</v>
      </c>
      <c r="AL153" s="0" t="s">
        <v>50</v>
      </c>
    </row>
    <row r="154" customFormat="false" ht="13.8" hidden="false" customHeight="false" outlineLevel="0" collapsed="false">
      <c r="B154" s="0" t="str">
        <f aca="false">HYPERLINK("https://genome.ucsc.edu/cgi-bin/hgTracks?db=hg19&amp;position=chr16%3A70896016%2D70896016", "chr16:70896016")</f>
        <v>chr16:70896016</v>
      </c>
      <c r="C154" s="0" t="s">
        <v>459</v>
      </c>
      <c r="D154" s="0" t="n">
        <v>70896016</v>
      </c>
      <c r="E154" s="0" t="n">
        <v>70896016</v>
      </c>
      <c r="F154" s="0" t="s">
        <v>75</v>
      </c>
      <c r="G154" s="0" t="s">
        <v>308</v>
      </c>
      <c r="H154" s="0" t="s">
        <v>1088</v>
      </c>
      <c r="I154" s="0" t="s">
        <v>1089</v>
      </c>
      <c r="J154" s="0" t="s">
        <v>1090</v>
      </c>
      <c r="K154" s="0" t="s">
        <v>50</v>
      </c>
      <c r="L154" s="0" t="str">
        <f aca="false">HYPERLINK("https://www.ncbi.nlm.nih.gov/snp/rs11337008", "rs11337008")</f>
        <v>rs11337008</v>
      </c>
      <c r="M154" s="0" t="str">
        <f aca="false">HYPERLINK("https://www.genecards.org/Search/Keyword?queryString=%5Baliases%5D(%20HYDIN%20)&amp;keywords=HYDIN", "HYDIN")</f>
        <v>HYDIN</v>
      </c>
      <c r="N154" s="0" t="s">
        <v>92</v>
      </c>
      <c r="O154" s="0" t="s">
        <v>312</v>
      </c>
      <c r="P154" s="0" t="s">
        <v>1091</v>
      </c>
      <c r="Q154" s="0" t="n">
        <v>0.0041655</v>
      </c>
      <c r="R154" s="0" t="n">
        <v>-1</v>
      </c>
      <c r="S154" s="0" t="n">
        <v>-1</v>
      </c>
      <c r="T154" s="0" t="n">
        <v>-1</v>
      </c>
      <c r="U154" s="0" t="n">
        <v>-1</v>
      </c>
      <c r="V154" s="0" t="s">
        <v>50</v>
      </c>
      <c r="W154" s="0" t="s">
        <v>50</v>
      </c>
      <c r="X154" s="0" t="s">
        <v>50</v>
      </c>
      <c r="Y154" s="0" t="s">
        <v>50</v>
      </c>
      <c r="Z154" s="0" t="s">
        <v>50</v>
      </c>
      <c r="AA154" s="0" t="s">
        <v>50</v>
      </c>
      <c r="AB154" s="0" t="s">
        <v>50</v>
      </c>
      <c r="AC154" s="0" t="s">
        <v>53</v>
      </c>
      <c r="AD154" s="0" t="s">
        <v>226</v>
      </c>
      <c r="AE154" s="0" t="s">
        <v>50</v>
      </c>
      <c r="AF154" s="0" t="s">
        <v>1092</v>
      </c>
      <c r="AG154" s="0" t="s">
        <v>1093</v>
      </c>
      <c r="AH154" s="0" t="s">
        <v>1094</v>
      </c>
      <c r="AI154" s="0" t="s">
        <v>50</v>
      </c>
      <c r="AJ154" s="0" t="s">
        <v>50</v>
      </c>
      <c r="AK154" s="0" t="s">
        <v>50</v>
      </c>
      <c r="AL154" s="0" t="s">
        <v>277</v>
      </c>
    </row>
    <row r="155" customFormat="false" ht="13.8" hidden="false" customHeight="false" outlineLevel="0" collapsed="false">
      <c r="B155" s="0" t="str">
        <f aca="false">HYPERLINK("https://genome.ucsc.edu/cgi-bin/hgTracks?db=hg19&amp;position=chr16%3A71196320%2D71196320", "chr16:71196320")</f>
        <v>chr16:71196320</v>
      </c>
      <c r="C155" s="0" t="s">
        <v>459</v>
      </c>
      <c r="D155" s="0" t="n">
        <v>71196320</v>
      </c>
      <c r="E155" s="0" t="n">
        <v>71196320</v>
      </c>
      <c r="F155" s="0" t="s">
        <v>74</v>
      </c>
      <c r="G155" s="0" t="s">
        <v>39</v>
      </c>
      <c r="H155" s="0" t="s">
        <v>1095</v>
      </c>
      <c r="I155" s="0" t="s">
        <v>1096</v>
      </c>
      <c r="J155" s="0" t="s">
        <v>1097</v>
      </c>
      <c r="K155" s="0" t="s">
        <v>50</v>
      </c>
      <c r="L155" s="0" t="str">
        <f aca="false">HYPERLINK("https://www.ncbi.nlm.nih.gov/snp/rs113722673", "rs113722673")</f>
        <v>rs113722673</v>
      </c>
      <c r="M155" s="0" t="str">
        <f aca="false">HYPERLINK("https://www.genecards.org/Search/Keyword?queryString=%5Baliases%5D(%20HYDIN%20)&amp;keywords=HYDIN", "HYDIN")</f>
        <v>HYDIN</v>
      </c>
      <c r="N155" s="0" t="s">
        <v>80</v>
      </c>
      <c r="O155" s="0" t="s">
        <v>50</v>
      </c>
      <c r="P155" s="0" t="s">
        <v>50</v>
      </c>
      <c r="Q155" s="0" t="n">
        <v>0.0009961</v>
      </c>
      <c r="R155" s="0" t="n">
        <v>-1</v>
      </c>
      <c r="S155" s="0" t="n">
        <v>-1</v>
      </c>
      <c r="T155" s="0" t="n">
        <v>-1</v>
      </c>
      <c r="U155" s="0" t="n">
        <v>-1</v>
      </c>
      <c r="V155" s="0" t="s">
        <v>50</v>
      </c>
      <c r="W155" s="0" t="s">
        <v>50</v>
      </c>
      <c r="X155" s="0" t="s">
        <v>49</v>
      </c>
      <c r="Y155" s="0" t="s">
        <v>82</v>
      </c>
      <c r="Z155" s="0" t="s">
        <v>50</v>
      </c>
      <c r="AA155" s="0" t="s">
        <v>50</v>
      </c>
      <c r="AB155" s="0" t="s">
        <v>50</v>
      </c>
      <c r="AC155" s="0" t="s">
        <v>53</v>
      </c>
      <c r="AD155" s="0" t="s">
        <v>226</v>
      </c>
      <c r="AE155" s="0" t="s">
        <v>50</v>
      </c>
      <c r="AF155" s="0" t="s">
        <v>1092</v>
      </c>
      <c r="AG155" s="0" t="s">
        <v>1093</v>
      </c>
      <c r="AH155" s="0" t="s">
        <v>1094</v>
      </c>
      <c r="AI155" s="0" t="s">
        <v>50</v>
      </c>
      <c r="AJ155" s="0" t="s">
        <v>50</v>
      </c>
      <c r="AK155" s="0" t="s">
        <v>50</v>
      </c>
      <c r="AL155" s="0" t="s">
        <v>50</v>
      </c>
    </row>
    <row r="156" customFormat="false" ht="13.8" hidden="false" customHeight="false" outlineLevel="0" collapsed="false">
      <c r="B156" s="0" t="str">
        <f aca="false">HYPERLINK("https://genome.ucsc.edu/cgi-bin/hgTracks?db=hg19&amp;position=chr16%3A87925324%2D87925324", "chr16:87925324")</f>
        <v>chr16:87925324</v>
      </c>
      <c r="C156" s="0" t="s">
        <v>459</v>
      </c>
      <c r="D156" s="0" t="n">
        <v>87925324</v>
      </c>
      <c r="E156" s="0" t="n">
        <v>87925324</v>
      </c>
      <c r="F156" s="0" t="s">
        <v>75</v>
      </c>
      <c r="G156" s="0" t="s">
        <v>39</v>
      </c>
      <c r="H156" s="0" t="s">
        <v>1098</v>
      </c>
      <c r="I156" s="0" t="s">
        <v>1099</v>
      </c>
      <c r="J156" s="0" t="s">
        <v>1100</v>
      </c>
      <c r="K156" s="0" t="s">
        <v>50</v>
      </c>
      <c r="L156" s="0" t="s">
        <v>50</v>
      </c>
      <c r="M156" s="0" t="str">
        <f aca="false">HYPERLINK("https://www.genecards.org/Search/Keyword?queryString=%5Baliases%5D(%20CA5A%20)&amp;keywords=CA5A", "CA5A")</f>
        <v>CA5A</v>
      </c>
      <c r="N156" s="0" t="s">
        <v>80</v>
      </c>
      <c r="O156" s="0" t="s">
        <v>50</v>
      </c>
      <c r="P156" s="0" t="s">
        <v>50</v>
      </c>
      <c r="Q156" s="0" t="n">
        <v>-1</v>
      </c>
      <c r="R156" s="0" t="n">
        <v>-1</v>
      </c>
      <c r="S156" s="0" t="n">
        <v>-1</v>
      </c>
      <c r="T156" s="0" t="n">
        <v>-1</v>
      </c>
      <c r="U156" s="0" t="n">
        <v>-1</v>
      </c>
      <c r="V156" s="0" t="s">
        <v>50</v>
      </c>
      <c r="W156" s="0" t="s">
        <v>50</v>
      </c>
      <c r="X156" s="0" t="s">
        <v>49</v>
      </c>
      <c r="Y156" s="0" t="s">
        <v>82</v>
      </c>
      <c r="Z156" s="0" t="s">
        <v>50</v>
      </c>
      <c r="AA156" s="0" t="s">
        <v>50</v>
      </c>
      <c r="AB156" s="0" t="s">
        <v>50</v>
      </c>
      <c r="AC156" s="0" t="s">
        <v>53</v>
      </c>
      <c r="AD156" s="0" t="s">
        <v>54</v>
      </c>
      <c r="AE156" s="0" t="s">
        <v>1101</v>
      </c>
      <c r="AF156" s="0" t="s">
        <v>1102</v>
      </c>
      <c r="AG156" s="0" t="s">
        <v>1103</v>
      </c>
      <c r="AH156" s="0" t="s">
        <v>1104</v>
      </c>
      <c r="AI156" s="0" t="s">
        <v>50</v>
      </c>
      <c r="AJ156" s="0" t="s">
        <v>50</v>
      </c>
      <c r="AK156" s="0" t="s">
        <v>50</v>
      </c>
      <c r="AL156" s="0" t="s">
        <v>50</v>
      </c>
    </row>
    <row r="157" customFormat="false" ht="13.8" hidden="false" customHeight="false" outlineLevel="0" collapsed="false">
      <c r="B157" s="0" t="str">
        <f aca="false">HYPERLINK("https://genome.ucsc.edu/cgi-bin/hgTracks?db=hg19&amp;position=chr16%3A89987351%2D89987351", "chr16:89987351")</f>
        <v>chr16:89987351</v>
      </c>
      <c r="C157" s="0" t="s">
        <v>459</v>
      </c>
      <c r="D157" s="0" t="n">
        <v>89987351</v>
      </c>
      <c r="E157" s="0" t="n">
        <v>89987351</v>
      </c>
      <c r="F157" s="0" t="s">
        <v>39</v>
      </c>
      <c r="G157" s="0" t="s">
        <v>74</v>
      </c>
      <c r="H157" s="0" t="s">
        <v>1105</v>
      </c>
      <c r="I157" s="0" t="s">
        <v>1106</v>
      </c>
      <c r="J157" s="0" t="s">
        <v>1107</v>
      </c>
      <c r="K157" s="0" t="s">
        <v>50</v>
      </c>
      <c r="L157" s="0" t="s">
        <v>50</v>
      </c>
      <c r="M157" s="0" t="str">
        <f aca="false">HYPERLINK("https://www.genecards.org/Search/Keyword?queryString=%5Baliases%5D(%20MC1R%20)&amp;keywords=MC1R", "MC1R")</f>
        <v>MC1R</v>
      </c>
      <c r="N157" s="0" t="s">
        <v>929</v>
      </c>
      <c r="O157" s="0" t="s">
        <v>50</v>
      </c>
      <c r="P157" s="0" t="s">
        <v>1108</v>
      </c>
      <c r="Q157" s="0" t="n">
        <v>-1</v>
      </c>
      <c r="R157" s="0" t="n">
        <v>-1</v>
      </c>
      <c r="S157" s="0" t="n">
        <v>-1</v>
      </c>
      <c r="T157" s="0" t="n">
        <v>-1</v>
      </c>
      <c r="U157" s="0" t="n">
        <v>-1</v>
      </c>
      <c r="V157" s="0" t="s">
        <v>50</v>
      </c>
      <c r="W157" s="0" t="s">
        <v>50</v>
      </c>
      <c r="X157" s="0" t="s">
        <v>50</v>
      </c>
      <c r="Y157" s="0" t="s">
        <v>50</v>
      </c>
      <c r="Z157" s="0" t="s">
        <v>50</v>
      </c>
      <c r="AA157" s="0" t="s">
        <v>50</v>
      </c>
      <c r="AB157" s="0" t="s">
        <v>50</v>
      </c>
      <c r="AC157" s="0" t="s">
        <v>53</v>
      </c>
      <c r="AD157" s="0" t="s">
        <v>54</v>
      </c>
      <c r="AE157" s="0" t="s">
        <v>1109</v>
      </c>
      <c r="AF157" s="0" t="s">
        <v>1110</v>
      </c>
      <c r="AG157" s="0" t="s">
        <v>1111</v>
      </c>
      <c r="AH157" s="0" t="s">
        <v>1112</v>
      </c>
      <c r="AI157" s="0" t="s">
        <v>50</v>
      </c>
      <c r="AJ157" s="0" t="s">
        <v>50</v>
      </c>
      <c r="AK157" s="0" t="s">
        <v>50</v>
      </c>
      <c r="AL157" s="0" t="s">
        <v>50</v>
      </c>
    </row>
    <row r="158" customFormat="false" ht="13.8" hidden="false" customHeight="false" outlineLevel="0" collapsed="false">
      <c r="B158" s="0" t="str">
        <f aca="false">HYPERLINK("https://genome.ucsc.edu/cgi-bin/hgTracks?db=hg19&amp;position=chr17%3A1382702%2D1382702", "chr17:1382702")</f>
        <v>chr17:1382702</v>
      </c>
      <c r="C158" s="0" t="s">
        <v>1113</v>
      </c>
      <c r="D158" s="0" t="n">
        <v>1382702</v>
      </c>
      <c r="E158" s="0" t="n">
        <v>1382702</v>
      </c>
      <c r="F158" s="0" t="s">
        <v>39</v>
      </c>
      <c r="G158" s="0" t="s">
        <v>40</v>
      </c>
      <c r="H158" s="0" t="s">
        <v>1114</v>
      </c>
      <c r="I158" s="0" t="s">
        <v>1115</v>
      </c>
      <c r="J158" s="0" t="s">
        <v>1116</v>
      </c>
      <c r="K158" s="0" t="s">
        <v>50</v>
      </c>
      <c r="L158" s="0" t="str">
        <f aca="false">HYPERLINK("https://www.ncbi.nlm.nih.gov/snp/rs78481682", "rs78481682")</f>
        <v>rs78481682</v>
      </c>
      <c r="M158" s="0" t="str">
        <f aca="false">HYPERLINK("https://www.genecards.org/Search/Keyword?queryString=%5Baliases%5D(%20MYO1C%20)&amp;keywords=MYO1C", "MYO1C")</f>
        <v>MYO1C</v>
      </c>
      <c r="N158" s="0" t="s">
        <v>80</v>
      </c>
      <c r="O158" s="0" t="s">
        <v>50</v>
      </c>
      <c r="P158" s="0" t="s">
        <v>50</v>
      </c>
      <c r="Q158" s="0" t="n">
        <v>0.0288</v>
      </c>
      <c r="R158" s="0" t="n">
        <v>0.0292</v>
      </c>
      <c r="S158" s="0" t="n">
        <v>0.0284</v>
      </c>
      <c r="T158" s="0" t="n">
        <v>-1</v>
      </c>
      <c r="U158" s="0" t="n">
        <v>0.0296</v>
      </c>
      <c r="V158" s="0" t="s">
        <v>50</v>
      </c>
      <c r="W158" s="0" t="s">
        <v>50</v>
      </c>
      <c r="X158" s="0" t="s">
        <v>81</v>
      </c>
      <c r="Y158" s="0" t="s">
        <v>82</v>
      </c>
      <c r="Z158" s="0" t="s">
        <v>50</v>
      </c>
      <c r="AA158" s="0" t="s">
        <v>50</v>
      </c>
      <c r="AB158" s="0" t="s">
        <v>50</v>
      </c>
      <c r="AC158" s="0" t="s">
        <v>53</v>
      </c>
      <c r="AD158" s="0" t="s">
        <v>54</v>
      </c>
      <c r="AE158" s="0" t="s">
        <v>1117</v>
      </c>
      <c r="AF158" s="0" t="s">
        <v>1118</v>
      </c>
      <c r="AG158" s="0" t="s">
        <v>1119</v>
      </c>
      <c r="AH158" s="0" t="s">
        <v>50</v>
      </c>
      <c r="AI158" s="0" t="s">
        <v>50</v>
      </c>
      <c r="AJ158" s="0" t="s">
        <v>50</v>
      </c>
      <c r="AK158" s="0" t="s">
        <v>50</v>
      </c>
      <c r="AL158" s="0" t="s">
        <v>50</v>
      </c>
    </row>
    <row r="159" customFormat="false" ht="13.8" hidden="false" customHeight="false" outlineLevel="0" collapsed="false">
      <c r="B159" s="0" t="str">
        <f aca="false">HYPERLINK("https://genome.ucsc.edu/cgi-bin/hgTracks?db=hg19&amp;position=chr17%3A5036932%2D5036932", "chr17:5036932")</f>
        <v>chr17:5036932</v>
      </c>
      <c r="C159" s="0" t="s">
        <v>1113</v>
      </c>
      <c r="D159" s="0" t="n">
        <v>5036932</v>
      </c>
      <c r="E159" s="0" t="n">
        <v>5036932</v>
      </c>
      <c r="F159" s="0" t="s">
        <v>74</v>
      </c>
      <c r="G159" s="0" t="s">
        <v>75</v>
      </c>
      <c r="H159" s="0" t="s">
        <v>1120</v>
      </c>
      <c r="I159" s="0" t="s">
        <v>1121</v>
      </c>
      <c r="J159" s="0" t="s">
        <v>1122</v>
      </c>
      <c r="K159" s="0" t="s">
        <v>50</v>
      </c>
      <c r="L159" s="0" t="s">
        <v>50</v>
      </c>
      <c r="M159" s="0" t="str">
        <f aca="false">HYPERLINK("https://www.genecards.org/Search/Keyword?queryString=%5Baliases%5D(%20USP6%20)&amp;keywords=USP6", "USP6")</f>
        <v>USP6</v>
      </c>
      <c r="N159" s="0" t="s">
        <v>80</v>
      </c>
      <c r="O159" s="0" t="s">
        <v>50</v>
      </c>
      <c r="P159" s="0" t="s">
        <v>50</v>
      </c>
      <c r="Q159" s="0" t="n">
        <v>0.0033</v>
      </c>
      <c r="R159" s="0" t="n">
        <v>0.0003</v>
      </c>
      <c r="S159" s="0" t="n">
        <v>0.0007</v>
      </c>
      <c r="T159" s="0" t="n">
        <v>-1</v>
      </c>
      <c r="U159" s="0" t="n">
        <v>0.0009</v>
      </c>
      <c r="V159" s="0" t="s">
        <v>50</v>
      </c>
      <c r="W159" s="0" t="s">
        <v>50</v>
      </c>
      <c r="X159" s="0" t="s">
        <v>49</v>
      </c>
      <c r="Y159" s="0" t="s">
        <v>82</v>
      </c>
      <c r="Z159" s="0" t="s">
        <v>50</v>
      </c>
      <c r="AA159" s="0" t="s">
        <v>50</v>
      </c>
      <c r="AB159" s="0" t="s">
        <v>50</v>
      </c>
      <c r="AC159" s="0" t="s">
        <v>53</v>
      </c>
      <c r="AD159" s="0" t="s">
        <v>54</v>
      </c>
      <c r="AE159" s="0" t="s">
        <v>1123</v>
      </c>
      <c r="AF159" s="0" t="s">
        <v>1124</v>
      </c>
      <c r="AG159" s="0" t="s">
        <v>1125</v>
      </c>
      <c r="AH159" s="0" t="s">
        <v>1126</v>
      </c>
      <c r="AI159" s="0" t="s">
        <v>50</v>
      </c>
      <c r="AJ159" s="0" t="s">
        <v>50</v>
      </c>
      <c r="AK159" s="0" t="s">
        <v>50</v>
      </c>
      <c r="AL159" s="0" t="s">
        <v>50</v>
      </c>
    </row>
    <row r="160" customFormat="false" ht="13.8" hidden="false" customHeight="false" outlineLevel="0" collapsed="false">
      <c r="B160" s="0" t="str">
        <f aca="false">HYPERLINK("https://genome.ucsc.edu/cgi-bin/hgTracks?db=hg19&amp;position=chr17%3A29541413%2D29541413", "chr17:29541413")</f>
        <v>chr17:29541413</v>
      </c>
      <c r="C160" s="0" t="s">
        <v>1113</v>
      </c>
      <c r="D160" s="0" t="n">
        <v>29541413</v>
      </c>
      <c r="E160" s="0" t="n">
        <v>29541413</v>
      </c>
      <c r="F160" s="0" t="s">
        <v>74</v>
      </c>
      <c r="G160" s="0" t="s">
        <v>75</v>
      </c>
      <c r="H160" s="0" t="s">
        <v>969</v>
      </c>
      <c r="I160" s="0" t="s">
        <v>1052</v>
      </c>
      <c r="J160" s="0" t="s">
        <v>1127</v>
      </c>
      <c r="K160" s="0" t="s">
        <v>50</v>
      </c>
      <c r="L160" s="0" t="s">
        <v>50</v>
      </c>
      <c r="M160" s="0" t="str">
        <f aca="false">HYPERLINK("https://www.genecards.org/Search/Keyword?queryString=%5Baliases%5D(%20NF1%20)&amp;keywords=NF1", "NF1")</f>
        <v>NF1</v>
      </c>
      <c r="N160" s="0" t="s">
        <v>80</v>
      </c>
      <c r="O160" s="0" t="s">
        <v>50</v>
      </c>
      <c r="P160" s="0" t="s">
        <v>50</v>
      </c>
      <c r="Q160" s="0" t="n">
        <v>0.0002</v>
      </c>
      <c r="R160" s="0" t="n">
        <v>0.0003</v>
      </c>
      <c r="S160" s="0" t="n">
        <v>0.0001</v>
      </c>
      <c r="T160" s="0" t="n">
        <v>-1</v>
      </c>
      <c r="U160" s="0" t="n">
        <v>0.0004</v>
      </c>
      <c r="V160" s="0" t="s">
        <v>50</v>
      </c>
      <c r="W160" s="0" t="s">
        <v>50</v>
      </c>
      <c r="X160" s="0" t="s">
        <v>81</v>
      </c>
      <c r="Y160" s="0" t="s">
        <v>82</v>
      </c>
      <c r="Z160" s="0" t="s">
        <v>50</v>
      </c>
      <c r="AA160" s="0" t="s">
        <v>50</v>
      </c>
      <c r="AB160" s="0" t="s">
        <v>50</v>
      </c>
      <c r="AC160" s="0" t="s">
        <v>53</v>
      </c>
      <c r="AD160" s="0" t="s">
        <v>54</v>
      </c>
      <c r="AE160" s="0" t="s">
        <v>1128</v>
      </c>
      <c r="AF160" s="0" t="s">
        <v>1129</v>
      </c>
      <c r="AG160" s="0" t="s">
        <v>1130</v>
      </c>
      <c r="AH160" s="0" t="s">
        <v>1131</v>
      </c>
      <c r="AI160" s="0" t="s">
        <v>50</v>
      </c>
      <c r="AJ160" s="0" t="s">
        <v>50</v>
      </c>
      <c r="AK160" s="0" t="s">
        <v>50</v>
      </c>
      <c r="AL160" s="0" t="s">
        <v>474</v>
      </c>
    </row>
    <row r="161" customFormat="false" ht="13.8" hidden="false" customHeight="false" outlineLevel="0" collapsed="false">
      <c r="B161" s="0" t="str">
        <f aca="false">HYPERLINK("https://genome.ucsc.edu/cgi-bin/hgTracks?db=hg19&amp;position=chr17%3A37871386%2D37871386", "chr17:37871386")</f>
        <v>chr17:37871386</v>
      </c>
      <c r="C161" s="0" t="s">
        <v>1113</v>
      </c>
      <c r="D161" s="0" t="n">
        <v>37871386</v>
      </c>
      <c r="E161" s="0" t="n">
        <v>37871386</v>
      </c>
      <c r="F161" s="0" t="s">
        <v>40</v>
      </c>
      <c r="G161" s="0" t="s">
        <v>75</v>
      </c>
      <c r="H161" s="0" t="s">
        <v>1132</v>
      </c>
      <c r="I161" s="0" t="s">
        <v>801</v>
      </c>
      <c r="J161" s="0" t="s">
        <v>1133</v>
      </c>
      <c r="K161" s="0" t="s">
        <v>50</v>
      </c>
      <c r="L161" s="0" t="s">
        <v>50</v>
      </c>
      <c r="M161" s="0" t="str">
        <f aca="false">HYPERLINK("https://www.genecards.org/Search/Keyword?queryString=%5Baliases%5D(%20ERBB2%20)&amp;keywords=ERBB2", "ERBB2")</f>
        <v>ERBB2</v>
      </c>
      <c r="N161" s="0" t="s">
        <v>80</v>
      </c>
      <c r="O161" s="0" t="s">
        <v>50</v>
      </c>
      <c r="P161" s="0" t="s">
        <v>50</v>
      </c>
      <c r="Q161" s="0" t="n">
        <v>-1</v>
      </c>
      <c r="R161" s="0" t="n">
        <v>-1</v>
      </c>
      <c r="S161" s="0" t="n">
        <v>-1</v>
      </c>
      <c r="T161" s="0" t="n">
        <v>-1</v>
      </c>
      <c r="U161" s="0" t="n">
        <v>-1</v>
      </c>
      <c r="V161" s="0" t="s">
        <v>50</v>
      </c>
      <c r="W161" s="0" t="s">
        <v>50</v>
      </c>
      <c r="X161" s="0" t="s">
        <v>81</v>
      </c>
      <c r="Y161" s="0" t="s">
        <v>82</v>
      </c>
      <c r="Z161" s="0" t="s">
        <v>50</v>
      </c>
      <c r="AA161" s="0" t="s">
        <v>50</v>
      </c>
      <c r="AB161" s="0" t="s">
        <v>50</v>
      </c>
      <c r="AC161" s="0" t="s">
        <v>53</v>
      </c>
      <c r="AD161" s="0" t="s">
        <v>54</v>
      </c>
      <c r="AE161" s="0" t="s">
        <v>1134</v>
      </c>
      <c r="AF161" s="0" t="s">
        <v>1135</v>
      </c>
      <c r="AG161" s="0" t="s">
        <v>1136</v>
      </c>
      <c r="AH161" s="0" t="s">
        <v>1137</v>
      </c>
      <c r="AI161" s="0" t="s">
        <v>50</v>
      </c>
      <c r="AJ161" s="0" t="s">
        <v>50</v>
      </c>
      <c r="AK161" s="0" t="s">
        <v>50</v>
      </c>
      <c r="AL161" s="0" t="s">
        <v>50</v>
      </c>
    </row>
    <row r="162" customFormat="false" ht="13.8" hidden="false" customHeight="false" outlineLevel="0" collapsed="false">
      <c r="B162" s="0" t="str">
        <f aca="false">HYPERLINK("https://genome.ucsc.edu/cgi-bin/hgTracks?db=hg19&amp;position=chr17%3A40278650%2D40278651", "chr17:40278650")</f>
        <v>chr17:40278650</v>
      </c>
      <c r="C162" s="0" t="s">
        <v>1113</v>
      </c>
      <c r="D162" s="0" t="n">
        <v>40278650</v>
      </c>
      <c r="E162" s="0" t="n">
        <v>40278651</v>
      </c>
      <c r="F162" s="0" t="s">
        <v>725</v>
      </c>
      <c r="G162" s="0" t="s">
        <v>308</v>
      </c>
      <c r="H162" s="0" t="s">
        <v>1138</v>
      </c>
      <c r="I162" s="0" t="s">
        <v>721</v>
      </c>
      <c r="J162" s="0" t="s">
        <v>722</v>
      </c>
      <c r="K162" s="0" t="s">
        <v>50</v>
      </c>
      <c r="L162" s="0" t="s">
        <v>50</v>
      </c>
      <c r="M162" s="0" t="str">
        <f aca="false">HYPERLINK("https://www.genecards.org/Search/Keyword?queryString=%5Baliases%5D(%20RAB5C%20)&amp;keywords=RAB5C", "RAB5C")</f>
        <v>RAB5C</v>
      </c>
      <c r="N162" s="0" t="s">
        <v>691</v>
      </c>
      <c r="O162" s="0" t="s">
        <v>453</v>
      </c>
      <c r="P162" s="0" t="s">
        <v>1139</v>
      </c>
      <c r="Q162" s="0" t="n">
        <v>-1</v>
      </c>
      <c r="R162" s="0" t="n">
        <v>-1</v>
      </c>
      <c r="S162" s="0" t="n">
        <v>-1</v>
      </c>
      <c r="T162" s="0" t="n">
        <v>-1</v>
      </c>
      <c r="U162" s="0" t="n">
        <v>-1</v>
      </c>
      <c r="V162" s="0" t="s">
        <v>50</v>
      </c>
      <c r="W162" s="0" t="s">
        <v>50</v>
      </c>
      <c r="X162" s="0" t="s">
        <v>50</v>
      </c>
      <c r="Y162" s="0" t="s">
        <v>50</v>
      </c>
      <c r="Z162" s="0" t="s">
        <v>50</v>
      </c>
      <c r="AA162" s="0" t="s">
        <v>50</v>
      </c>
      <c r="AB162" s="0" t="s">
        <v>50</v>
      </c>
      <c r="AC162" s="0" t="s">
        <v>53</v>
      </c>
      <c r="AD162" s="0" t="s">
        <v>54</v>
      </c>
      <c r="AE162" s="0" t="s">
        <v>1140</v>
      </c>
      <c r="AF162" s="0" t="s">
        <v>1141</v>
      </c>
      <c r="AG162" s="0" t="s">
        <v>1142</v>
      </c>
      <c r="AH162" s="0" t="s">
        <v>50</v>
      </c>
      <c r="AI162" s="0" t="s">
        <v>50</v>
      </c>
      <c r="AJ162" s="0" t="s">
        <v>50</v>
      </c>
      <c r="AK162" s="0" t="s">
        <v>50</v>
      </c>
      <c r="AL162" s="0" t="s">
        <v>50</v>
      </c>
    </row>
    <row r="163" customFormat="false" ht="13.8" hidden="false" customHeight="false" outlineLevel="0" collapsed="false">
      <c r="B163" s="0" t="str">
        <f aca="false">HYPERLINK("https://genome.ucsc.edu/cgi-bin/hgTracks?db=hg19&amp;position=chr17%3A45669444%2D45669444", "chr17:45669444")</f>
        <v>chr17:45669444</v>
      </c>
      <c r="C163" s="0" t="s">
        <v>1113</v>
      </c>
      <c r="D163" s="0" t="n">
        <v>45669444</v>
      </c>
      <c r="E163" s="0" t="n">
        <v>45669444</v>
      </c>
      <c r="F163" s="0" t="s">
        <v>75</v>
      </c>
      <c r="G163" s="0" t="s">
        <v>74</v>
      </c>
      <c r="H163" s="0" t="s">
        <v>1143</v>
      </c>
      <c r="I163" s="0" t="s">
        <v>381</v>
      </c>
      <c r="J163" s="0" t="s">
        <v>1144</v>
      </c>
      <c r="K163" s="0" t="s">
        <v>50</v>
      </c>
      <c r="L163" s="0" t="str">
        <f aca="false">HYPERLINK("https://www.ncbi.nlm.nih.gov/snp/rs111230318", "rs111230318")</f>
        <v>rs111230318</v>
      </c>
      <c r="M163" s="0" t="str">
        <f aca="false">HYPERLINK("https://www.genecards.org/Search/Keyword?queryString=%5Baliases%5D(%20NPEPPS%20)&amp;keywords=NPEPPS", "NPEPPS")</f>
        <v>NPEPPS</v>
      </c>
      <c r="N163" s="0" t="s">
        <v>80</v>
      </c>
      <c r="O163" s="0" t="s">
        <v>50</v>
      </c>
      <c r="P163" s="0" t="s">
        <v>50</v>
      </c>
      <c r="Q163" s="0" t="n">
        <v>0.0228</v>
      </c>
      <c r="R163" s="0" t="n">
        <v>0.0035</v>
      </c>
      <c r="S163" s="0" t="n">
        <v>0.0044</v>
      </c>
      <c r="T163" s="0" t="n">
        <v>-1</v>
      </c>
      <c r="U163" s="0" t="n">
        <v>0.0046</v>
      </c>
      <c r="V163" s="0" t="s">
        <v>50</v>
      </c>
      <c r="W163" s="0" t="s">
        <v>50</v>
      </c>
      <c r="X163" s="0" t="s">
        <v>49</v>
      </c>
      <c r="Y163" s="0" t="s">
        <v>82</v>
      </c>
      <c r="Z163" s="0" t="s">
        <v>50</v>
      </c>
      <c r="AA163" s="0" t="s">
        <v>50</v>
      </c>
      <c r="AB163" s="0" t="s">
        <v>50</v>
      </c>
      <c r="AC163" s="0" t="s">
        <v>53</v>
      </c>
      <c r="AD163" s="0" t="s">
        <v>54</v>
      </c>
      <c r="AE163" s="0" t="s">
        <v>1145</v>
      </c>
      <c r="AF163" s="0" t="s">
        <v>1146</v>
      </c>
      <c r="AG163" s="0" t="s">
        <v>1147</v>
      </c>
      <c r="AH163" s="0" t="s">
        <v>50</v>
      </c>
      <c r="AI163" s="0" t="s">
        <v>50</v>
      </c>
      <c r="AJ163" s="0" t="s">
        <v>473</v>
      </c>
      <c r="AK163" s="0" t="s">
        <v>50</v>
      </c>
      <c r="AL163" s="0" t="s">
        <v>474</v>
      </c>
    </row>
    <row r="164" customFormat="false" ht="13.8" hidden="false" customHeight="false" outlineLevel="0" collapsed="false">
      <c r="B164" s="0" t="str">
        <f aca="false">HYPERLINK("https://genome.ucsc.edu/cgi-bin/hgTracks?db=hg19&amp;position=chr17%3A45892559%2D45892559", "chr17:45892559")</f>
        <v>chr17:45892559</v>
      </c>
      <c r="C164" s="0" t="s">
        <v>1113</v>
      </c>
      <c r="D164" s="0" t="n">
        <v>45892559</v>
      </c>
      <c r="E164" s="0" t="n">
        <v>45892559</v>
      </c>
      <c r="F164" s="0" t="s">
        <v>74</v>
      </c>
      <c r="G164" s="0" t="s">
        <v>75</v>
      </c>
      <c r="H164" s="0" t="s">
        <v>1148</v>
      </c>
      <c r="I164" s="0" t="s">
        <v>1096</v>
      </c>
      <c r="J164" s="0" t="s">
        <v>1149</v>
      </c>
      <c r="K164" s="0" t="s">
        <v>50</v>
      </c>
      <c r="L164" s="0" t="s">
        <v>50</v>
      </c>
      <c r="M164" s="0" t="str">
        <f aca="false">HYPERLINK("https://www.genecards.org/Search/Keyword?queryString=%5Baliases%5D(%20OSBPL7%20)&amp;keywords=OSBPL7", "OSBPL7")</f>
        <v>OSBPL7</v>
      </c>
      <c r="N164" s="0" t="s">
        <v>636</v>
      </c>
      <c r="O164" s="0" t="s">
        <v>50</v>
      </c>
      <c r="P164" s="0" t="s">
        <v>1150</v>
      </c>
      <c r="Q164" s="0" t="n">
        <v>-1</v>
      </c>
      <c r="R164" s="0" t="n">
        <v>-1</v>
      </c>
      <c r="S164" s="0" t="n">
        <v>-1</v>
      </c>
      <c r="T164" s="0" t="n">
        <v>-1</v>
      </c>
      <c r="U164" s="0" t="n">
        <v>-1</v>
      </c>
      <c r="V164" s="0" t="s">
        <v>50</v>
      </c>
      <c r="W164" s="0" t="s">
        <v>50</v>
      </c>
      <c r="X164" s="0" t="s">
        <v>49</v>
      </c>
      <c r="Y164" s="0" t="s">
        <v>82</v>
      </c>
      <c r="Z164" s="0" t="s">
        <v>50</v>
      </c>
      <c r="AA164" s="0" t="s">
        <v>50</v>
      </c>
      <c r="AB164" s="0" t="s">
        <v>50</v>
      </c>
      <c r="AC164" s="0" t="s">
        <v>53</v>
      </c>
      <c r="AD164" s="0" t="s">
        <v>54</v>
      </c>
      <c r="AE164" s="0" t="s">
        <v>1151</v>
      </c>
      <c r="AF164" s="0" t="s">
        <v>1152</v>
      </c>
      <c r="AG164" s="0" t="s">
        <v>50</v>
      </c>
      <c r="AH164" s="0" t="s">
        <v>50</v>
      </c>
      <c r="AI164" s="0" t="s">
        <v>50</v>
      </c>
      <c r="AJ164" s="0" t="s">
        <v>50</v>
      </c>
      <c r="AK164" s="0" t="s">
        <v>50</v>
      </c>
      <c r="AL164" s="0" t="s">
        <v>50</v>
      </c>
    </row>
    <row r="165" customFormat="false" ht="13.8" hidden="false" customHeight="false" outlineLevel="0" collapsed="false">
      <c r="B165" s="0" t="str">
        <f aca="false">HYPERLINK("https://genome.ucsc.edu/cgi-bin/hgTracks?db=hg19&amp;position=chr17%3A48685483%2D48685483", "chr17:48685483")</f>
        <v>chr17:48685483</v>
      </c>
      <c r="C165" s="0" t="s">
        <v>1113</v>
      </c>
      <c r="D165" s="0" t="n">
        <v>48685483</v>
      </c>
      <c r="E165" s="0" t="n">
        <v>48685483</v>
      </c>
      <c r="F165" s="0" t="s">
        <v>74</v>
      </c>
      <c r="G165" s="0" t="s">
        <v>75</v>
      </c>
      <c r="H165" s="0" t="s">
        <v>509</v>
      </c>
      <c r="I165" s="0" t="s">
        <v>1002</v>
      </c>
      <c r="J165" s="0" t="s">
        <v>1153</v>
      </c>
      <c r="K165" s="0" t="s">
        <v>50</v>
      </c>
      <c r="L165" s="0" t="str">
        <f aca="false">HYPERLINK("https://www.ncbi.nlm.nih.gov/snp/rs190452292", "rs190452292")</f>
        <v>rs190452292</v>
      </c>
      <c r="M165" s="0" t="str">
        <f aca="false">HYPERLINK("https://www.genecards.org/Search/Keyword?queryString=%5Baliases%5D(%20CACNA1G%20)&amp;keywords=CACNA1G", "CACNA1G")</f>
        <v>CACNA1G</v>
      </c>
      <c r="N165" s="0" t="s">
        <v>80</v>
      </c>
      <c r="O165" s="0" t="s">
        <v>50</v>
      </c>
      <c r="P165" s="0" t="s">
        <v>50</v>
      </c>
      <c r="Q165" s="0" t="n">
        <v>0.0276</v>
      </c>
      <c r="R165" s="0" t="n">
        <v>0.009</v>
      </c>
      <c r="S165" s="0" t="n">
        <v>0.0086</v>
      </c>
      <c r="T165" s="0" t="n">
        <v>-1</v>
      </c>
      <c r="U165" s="0" t="n">
        <v>0.0077</v>
      </c>
      <c r="V165" s="0" t="s">
        <v>50</v>
      </c>
      <c r="W165" s="0" t="s">
        <v>50</v>
      </c>
      <c r="X165" s="0" t="s">
        <v>49</v>
      </c>
      <c r="Y165" s="0" t="s">
        <v>82</v>
      </c>
      <c r="Z165" s="0" t="s">
        <v>50</v>
      </c>
      <c r="AA165" s="0" t="s">
        <v>50</v>
      </c>
      <c r="AB165" s="0" t="s">
        <v>50</v>
      </c>
      <c r="AC165" s="0" t="s">
        <v>53</v>
      </c>
      <c r="AD165" s="0" t="s">
        <v>54</v>
      </c>
      <c r="AE165" s="0" t="s">
        <v>1154</v>
      </c>
      <c r="AF165" s="0" t="s">
        <v>1155</v>
      </c>
      <c r="AG165" s="0" t="s">
        <v>1156</v>
      </c>
      <c r="AH165" s="0" t="s">
        <v>50</v>
      </c>
      <c r="AI165" s="0" t="s">
        <v>50</v>
      </c>
      <c r="AJ165" s="0" t="s">
        <v>50</v>
      </c>
      <c r="AK165" s="0" t="s">
        <v>50</v>
      </c>
      <c r="AL165" s="0" t="s">
        <v>50</v>
      </c>
    </row>
    <row r="166" customFormat="false" ht="13.8" hidden="false" customHeight="false" outlineLevel="0" collapsed="false">
      <c r="B166" s="0" t="str">
        <f aca="false">HYPERLINK("https://genome.ucsc.edu/cgi-bin/hgTracks?db=hg19&amp;position=chr17%3A57465868%2D57465868", "chr17:57465868")</f>
        <v>chr17:57465868</v>
      </c>
      <c r="C166" s="0" t="s">
        <v>1113</v>
      </c>
      <c r="D166" s="0" t="n">
        <v>57465868</v>
      </c>
      <c r="E166" s="0" t="n">
        <v>57465868</v>
      </c>
      <c r="F166" s="0" t="s">
        <v>75</v>
      </c>
      <c r="G166" s="0" t="s">
        <v>74</v>
      </c>
      <c r="H166" s="0" t="s">
        <v>1157</v>
      </c>
      <c r="I166" s="0" t="s">
        <v>1115</v>
      </c>
      <c r="J166" s="0" t="s">
        <v>1158</v>
      </c>
      <c r="K166" s="0" t="s">
        <v>50</v>
      </c>
      <c r="L166" s="0" t="s">
        <v>50</v>
      </c>
      <c r="M166" s="0" t="str">
        <f aca="false">HYPERLINK("https://www.genecards.org/Search/Keyword?queryString=%5Baliases%5D(%20YPEL2%20)&amp;keywords=YPEL2", "YPEL2")</f>
        <v>YPEL2</v>
      </c>
      <c r="N166" s="0" t="s">
        <v>80</v>
      </c>
      <c r="O166" s="0" t="s">
        <v>50</v>
      </c>
      <c r="P166" s="0" t="s">
        <v>50</v>
      </c>
      <c r="Q166" s="0" t="n">
        <v>0.0004</v>
      </c>
      <c r="R166" s="0" t="n">
        <v>0.0005</v>
      </c>
      <c r="S166" s="0" t="n">
        <v>0.0004</v>
      </c>
      <c r="T166" s="0" t="n">
        <v>-1</v>
      </c>
      <c r="U166" s="0" t="n">
        <v>0.0007</v>
      </c>
      <c r="V166" s="0" t="s">
        <v>50</v>
      </c>
      <c r="W166" s="0" t="s">
        <v>50</v>
      </c>
      <c r="X166" s="0" t="s">
        <v>49</v>
      </c>
      <c r="Y166" s="0" t="s">
        <v>82</v>
      </c>
      <c r="Z166" s="0" t="s">
        <v>50</v>
      </c>
      <c r="AA166" s="0" t="s">
        <v>50</v>
      </c>
      <c r="AB166" s="0" t="s">
        <v>50</v>
      </c>
      <c r="AC166" s="0" t="s">
        <v>53</v>
      </c>
      <c r="AD166" s="0" t="s">
        <v>54</v>
      </c>
      <c r="AE166" s="0" t="s">
        <v>1159</v>
      </c>
      <c r="AF166" s="0" t="s">
        <v>1160</v>
      </c>
      <c r="AG166" s="0" t="s">
        <v>50</v>
      </c>
      <c r="AH166" s="0" t="s">
        <v>50</v>
      </c>
      <c r="AI166" s="0" t="s">
        <v>50</v>
      </c>
      <c r="AJ166" s="0" t="s">
        <v>50</v>
      </c>
      <c r="AK166" s="0" t="s">
        <v>50</v>
      </c>
      <c r="AL166" s="0" t="s">
        <v>50</v>
      </c>
    </row>
    <row r="167" customFormat="false" ht="13.8" hidden="false" customHeight="false" outlineLevel="0" collapsed="false">
      <c r="B167" s="0" t="str">
        <f aca="false">HYPERLINK("https://genome.ucsc.edu/cgi-bin/hgTracks?db=hg19&amp;position=chr17%3A62497964%2D62497964", "chr17:62497964")</f>
        <v>chr17:62497964</v>
      </c>
      <c r="C167" s="0" t="s">
        <v>1113</v>
      </c>
      <c r="D167" s="0" t="n">
        <v>62497964</v>
      </c>
      <c r="E167" s="0" t="n">
        <v>62497964</v>
      </c>
      <c r="F167" s="0" t="s">
        <v>39</v>
      </c>
      <c r="G167" s="0" t="s">
        <v>40</v>
      </c>
      <c r="H167" s="0" t="s">
        <v>1161</v>
      </c>
      <c r="I167" s="0" t="s">
        <v>678</v>
      </c>
      <c r="J167" s="0" t="s">
        <v>1162</v>
      </c>
      <c r="K167" s="0" t="s">
        <v>50</v>
      </c>
      <c r="L167" s="0" t="str">
        <f aca="false">HYPERLINK("https://www.ncbi.nlm.nih.gov/snp/rs77672322", "rs77672322")</f>
        <v>rs77672322</v>
      </c>
      <c r="M167" s="0" t="str">
        <f aca="false">HYPERLINK("https://www.genecards.org/Search/Keyword?queryString=%5Baliases%5D(%20DDX5%20)&amp;keywords=DDX5", "DDX5")</f>
        <v>DDX5</v>
      </c>
      <c r="N167" s="0" t="s">
        <v>80</v>
      </c>
      <c r="O167" s="0" t="s">
        <v>50</v>
      </c>
      <c r="P167" s="0" t="s">
        <v>50</v>
      </c>
      <c r="Q167" s="0" t="n">
        <v>0.0268</v>
      </c>
      <c r="R167" s="0" t="n">
        <v>0.024</v>
      </c>
      <c r="S167" s="0" t="n">
        <v>0.0234</v>
      </c>
      <c r="T167" s="0" t="n">
        <v>-1</v>
      </c>
      <c r="U167" s="0" t="n">
        <v>0.0232</v>
      </c>
      <c r="V167" s="0" t="s">
        <v>50</v>
      </c>
      <c r="W167" s="0" t="s">
        <v>50</v>
      </c>
      <c r="X167" s="0" t="s">
        <v>49</v>
      </c>
      <c r="Y167" s="0" t="s">
        <v>82</v>
      </c>
      <c r="Z167" s="0" t="s">
        <v>50</v>
      </c>
      <c r="AA167" s="0" t="s">
        <v>50</v>
      </c>
      <c r="AB167" s="0" t="s">
        <v>50</v>
      </c>
      <c r="AC167" s="0" t="s">
        <v>53</v>
      </c>
      <c r="AD167" s="0" t="s">
        <v>54</v>
      </c>
      <c r="AE167" s="0" t="s">
        <v>1163</v>
      </c>
      <c r="AF167" s="0" t="s">
        <v>1164</v>
      </c>
      <c r="AG167" s="0" t="s">
        <v>1165</v>
      </c>
      <c r="AH167" s="0" t="s">
        <v>50</v>
      </c>
      <c r="AI167" s="0" t="s">
        <v>50</v>
      </c>
      <c r="AJ167" s="0" t="s">
        <v>50</v>
      </c>
      <c r="AK167" s="0" t="s">
        <v>50</v>
      </c>
      <c r="AL167" s="0" t="s">
        <v>50</v>
      </c>
    </row>
    <row r="168" customFormat="false" ht="13.8" hidden="false" customHeight="false" outlineLevel="0" collapsed="false">
      <c r="B168" s="0" t="str">
        <f aca="false">HYPERLINK("https://genome.ucsc.edu/cgi-bin/hgTracks?db=hg19&amp;position=chr17%3A73269231%2D73269231", "chr17:73269231")</f>
        <v>chr17:73269231</v>
      </c>
      <c r="C168" s="0" t="s">
        <v>1113</v>
      </c>
      <c r="D168" s="0" t="n">
        <v>73269231</v>
      </c>
      <c r="E168" s="0" t="n">
        <v>73269231</v>
      </c>
      <c r="F168" s="0" t="s">
        <v>74</v>
      </c>
      <c r="G168" s="0" t="s">
        <v>75</v>
      </c>
      <c r="H168" s="0" t="s">
        <v>1166</v>
      </c>
      <c r="I168" s="0" t="s">
        <v>898</v>
      </c>
      <c r="J168" s="0" t="s">
        <v>1167</v>
      </c>
      <c r="K168" s="0" t="s">
        <v>50</v>
      </c>
      <c r="L168" s="0" t="str">
        <f aca="false">HYPERLINK("https://www.ncbi.nlm.nih.gov/snp/rs543638381", "rs543638381")</f>
        <v>rs543638381</v>
      </c>
      <c r="M168" s="0" t="str">
        <f aca="false">HYPERLINK("https://www.genecards.org/Search/Keyword?queryString=%5Baliases%5D(%20LOC100287042%20)%20OR%20%5Baliases%5D(%20SLC25A19%20)&amp;keywords=LOC100287042,SLC25A19", "LOC100287042;SLC25A19")</f>
        <v>LOC100287042;SLC25A19</v>
      </c>
      <c r="N168" s="0" t="s">
        <v>929</v>
      </c>
      <c r="O168" s="0" t="s">
        <v>50</v>
      </c>
      <c r="P168" s="0" t="s">
        <v>1168</v>
      </c>
      <c r="Q168" s="0" t="n">
        <v>0.0035</v>
      </c>
      <c r="R168" s="0" t="n">
        <v>0.0037</v>
      </c>
      <c r="S168" s="0" t="n">
        <v>0.0036</v>
      </c>
      <c r="T168" s="0" t="n">
        <v>-1</v>
      </c>
      <c r="U168" s="0" t="n">
        <v>0.0081</v>
      </c>
      <c r="V168" s="0" t="s">
        <v>50</v>
      </c>
      <c r="W168" s="0" t="s">
        <v>50</v>
      </c>
      <c r="X168" s="0" t="s">
        <v>50</v>
      </c>
      <c r="Y168" s="0" t="s">
        <v>50</v>
      </c>
      <c r="Z168" s="0" t="s">
        <v>50</v>
      </c>
      <c r="AA168" s="0" t="s">
        <v>50</v>
      </c>
      <c r="AB168" s="0" t="s">
        <v>50</v>
      </c>
      <c r="AC168" s="0" t="s">
        <v>53</v>
      </c>
      <c r="AD168" s="0" t="s">
        <v>157</v>
      </c>
      <c r="AE168" s="0" t="s">
        <v>1169</v>
      </c>
      <c r="AF168" s="0" t="s">
        <v>1170</v>
      </c>
      <c r="AG168" s="0" t="s">
        <v>1171</v>
      </c>
      <c r="AH168" s="0" t="s">
        <v>1172</v>
      </c>
      <c r="AI168" s="0" t="s">
        <v>50</v>
      </c>
      <c r="AJ168" s="0" t="s">
        <v>50</v>
      </c>
      <c r="AK168" s="0" t="s">
        <v>50</v>
      </c>
      <c r="AL168" s="0" t="s">
        <v>50</v>
      </c>
    </row>
    <row r="169" customFormat="false" ht="13.8" hidden="false" customHeight="false" outlineLevel="0" collapsed="false">
      <c r="B169" s="0" t="str">
        <f aca="false">HYPERLINK("https://genome.ucsc.edu/cgi-bin/hgTracks?db=hg19&amp;position=chr18%3A2705662%2D2705662", "chr18:2705662")</f>
        <v>chr18:2705662</v>
      </c>
      <c r="C169" s="0" t="s">
        <v>278</v>
      </c>
      <c r="D169" s="0" t="n">
        <v>2705662</v>
      </c>
      <c r="E169" s="0" t="n">
        <v>2705662</v>
      </c>
      <c r="F169" s="0" t="s">
        <v>308</v>
      </c>
      <c r="G169" s="0" t="s">
        <v>40</v>
      </c>
      <c r="H169" s="0" t="s">
        <v>1173</v>
      </c>
      <c r="I169" s="0" t="s">
        <v>201</v>
      </c>
      <c r="J169" s="0" t="s">
        <v>1174</v>
      </c>
      <c r="K169" s="0" t="s">
        <v>50</v>
      </c>
      <c r="L169" s="0" t="str">
        <f aca="false">HYPERLINK("https://www.ncbi.nlm.nih.gov/snp/rs759993238", "rs759993238")</f>
        <v>rs759993238</v>
      </c>
      <c r="M169" s="0" t="str">
        <f aca="false">HYPERLINK("https://www.genecards.org/Search/Keyword?queryString=%5Baliases%5D(%20SMCHD1%20)&amp;keywords=SMCHD1", "SMCHD1")</f>
        <v>SMCHD1</v>
      </c>
      <c r="N169" s="0" t="s">
        <v>347</v>
      </c>
      <c r="O169" s="0" t="s">
        <v>50</v>
      </c>
      <c r="P169" s="0" t="s">
        <v>50</v>
      </c>
      <c r="Q169" s="0" t="n">
        <v>0.0122702</v>
      </c>
      <c r="R169" s="0" t="n">
        <v>0.0067</v>
      </c>
      <c r="S169" s="0" t="n">
        <v>0.0027</v>
      </c>
      <c r="T169" s="0" t="n">
        <v>-1</v>
      </c>
      <c r="U169" s="0" t="n">
        <v>0.0122</v>
      </c>
      <c r="V169" s="0" t="s">
        <v>50</v>
      </c>
      <c r="W169" s="0" t="s">
        <v>50</v>
      </c>
      <c r="X169" s="0" t="s">
        <v>50</v>
      </c>
      <c r="Y169" s="0" t="s">
        <v>50</v>
      </c>
      <c r="Z169" s="0" t="s">
        <v>50</v>
      </c>
      <c r="AA169" s="0" t="s">
        <v>50</v>
      </c>
      <c r="AB169" s="0" t="s">
        <v>50</v>
      </c>
      <c r="AC169" s="0" t="s">
        <v>53</v>
      </c>
      <c r="AD169" s="0" t="s">
        <v>54</v>
      </c>
      <c r="AE169" s="0" t="s">
        <v>1175</v>
      </c>
      <c r="AF169" s="0" t="s">
        <v>1176</v>
      </c>
      <c r="AG169" s="0" t="s">
        <v>1177</v>
      </c>
      <c r="AH169" s="0" t="s">
        <v>1178</v>
      </c>
      <c r="AI169" s="0" t="s">
        <v>632</v>
      </c>
      <c r="AJ169" s="0" t="s">
        <v>50</v>
      </c>
      <c r="AK169" s="0" t="s">
        <v>50</v>
      </c>
      <c r="AL169" s="0" t="s">
        <v>50</v>
      </c>
    </row>
    <row r="170" s="4" customFormat="true" ht="13.8" hidden="false" customHeight="false" outlineLevel="0" collapsed="false">
      <c r="B170" s="4" t="str">
        <f aca="false">HYPERLINK("https://genome.ucsc.edu/cgi-bin/hgTracks?db=hg19&amp;position=chr18%3A2951448%2D2951450", "chr18:2951448")</f>
        <v>chr18:2951448</v>
      </c>
      <c r="C170" s="4" t="s">
        <v>278</v>
      </c>
      <c r="D170" s="4" t="n">
        <v>2951448</v>
      </c>
      <c r="E170" s="4" t="n">
        <v>2951450</v>
      </c>
      <c r="F170" s="4" t="s">
        <v>1179</v>
      </c>
      <c r="G170" s="4" t="s">
        <v>308</v>
      </c>
      <c r="H170" s="4" t="s">
        <v>1180</v>
      </c>
      <c r="I170" s="4" t="s">
        <v>990</v>
      </c>
      <c r="J170" s="4" t="s">
        <v>1181</v>
      </c>
      <c r="K170" s="4" t="s">
        <v>50</v>
      </c>
      <c r="L170" s="4" t="str">
        <f aca="false">HYPERLINK("https://www.ncbi.nlm.nih.gov/snp/rs553199051", "rs553199051")</f>
        <v>rs553199051</v>
      </c>
      <c r="M170" s="4" t="str">
        <f aca="false">HYPERLINK("https://www.genecards.org/Search/Keyword?queryString=%5Baliases%5D(%20LPIN2%20)&amp;keywords=LPIN2", "LPIN2")</f>
        <v>LPIN2</v>
      </c>
      <c r="N170" s="4" t="s">
        <v>347</v>
      </c>
      <c r="O170" s="4" t="s">
        <v>50</v>
      </c>
      <c r="P170" s="4" t="s">
        <v>50</v>
      </c>
      <c r="Q170" s="4" t="n">
        <v>0.0205</v>
      </c>
      <c r="R170" s="4" t="n">
        <v>0.0156</v>
      </c>
      <c r="S170" s="4" t="n">
        <v>0.0079</v>
      </c>
      <c r="T170" s="4" t="n">
        <v>-1</v>
      </c>
      <c r="U170" s="4" t="n">
        <v>0.0153</v>
      </c>
      <c r="V170" s="4" t="s">
        <v>50</v>
      </c>
      <c r="W170" s="4" t="s">
        <v>50</v>
      </c>
      <c r="X170" s="4" t="s">
        <v>50</v>
      </c>
      <c r="Y170" s="4" t="s">
        <v>50</v>
      </c>
      <c r="Z170" s="4" t="s">
        <v>50</v>
      </c>
      <c r="AA170" s="4" t="s">
        <v>50</v>
      </c>
      <c r="AB170" s="4" t="s">
        <v>50</v>
      </c>
      <c r="AC170" s="4" t="s">
        <v>455</v>
      </c>
      <c r="AD170" s="4" t="s">
        <v>226</v>
      </c>
      <c r="AE170" s="4" t="s">
        <v>1182</v>
      </c>
      <c r="AF170" s="4" t="s">
        <v>1183</v>
      </c>
      <c r="AG170" s="4" t="s">
        <v>1184</v>
      </c>
      <c r="AH170" s="4" t="s">
        <v>1185</v>
      </c>
      <c r="AI170" s="4" t="s">
        <v>50</v>
      </c>
      <c r="AJ170" s="4" t="s">
        <v>50</v>
      </c>
      <c r="AK170" s="4" t="s">
        <v>50</v>
      </c>
      <c r="AL170" s="4" t="s">
        <v>50</v>
      </c>
    </row>
    <row r="171" s="4" customFormat="true" ht="13.8" hidden="false" customHeight="false" outlineLevel="0" collapsed="false">
      <c r="B171" s="4" t="str">
        <f aca="false">HYPERLINK("https://genome.ucsc.edu/cgi-bin/hgTracks?db=hg19&amp;position=chr18%3A2951450%2D2951450", "chr18:2951450")</f>
        <v>chr18:2951450</v>
      </c>
      <c r="C171" s="4" t="s">
        <v>278</v>
      </c>
      <c r="D171" s="4" t="n">
        <v>2951450</v>
      </c>
      <c r="E171" s="4" t="n">
        <v>2951450</v>
      </c>
      <c r="F171" s="4" t="s">
        <v>75</v>
      </c>
      <c r="G171" s="4" t="s">
        <v>308</v>
      </c>
      <c r="H171" s="4" t="s">
        <v>1180</v>
      </c>
      <c r="I171" s="4" t="s">
        <v>990</v>
      </c>
      <c r="J171" s="4" t="s">
        <v>1181</v>
      </c>
      <c r="K171" s="4" t="s">
        <v>50</v>
      </c>
      <c r="L171" s="4" t="s">
        <v>50</v>
      </c>
      <c r="M171" s="4" t="str">
        <f aca="false">HYPERLINK("https://www.genecards.org/Search/Keyword?queryString=%5Baliases%5D(%20LPIN2%20)&amp;keywords=LPIN2", "LPIN2")</f>
        <v>LPIN2</v>
      </c>
      <c r="N171" s="4" t="s">
        <v>347</v>
      </c>
      <c r="O171" s="4" t="s">
        <v>50</v>
      </c>
      <c r="P171" s="4" t="s">
        <v>50</v>
      </c>
      <c r="Q171" s="4" t="n">
        <v>-1</v>
      </c>
      <c r="R171" s="4" t="n">
        <v>-1</v>
      </c>
      <c r="S171" s="4" t="n">
        <v>-1</v>
      </c>
      <c r="T171" s="4" t="n">
        <v>-1</v>
      </c>
      <c r="U171" s="4" t="n">
        <v>-1</v>
      </c>
      <c r="V171" s="4" t="s">
        <v>50</v>
      </c>
      <c r="W171" s="4" t="s">
        <v>50</v>
      </c>
      <c r="X171" s="4" t="s">
        <v>50</v>
      </c>
      <c r="Y171" s="4" t="s">
        <v>50</v>
      </c>
      <c r="Z171" s="4" t="s">
        <v>50</v>
      </c>
      <c r="AA171" s="4" t="s">
        <v>50</v>
      </c>
      <c r="AB171" s="4" t="s">
        <v>50</v>
      </c>
      <c r="AC171" s="4" t="s">
        <v>455</v>
      </c>
      <c r="AD171" s="4" t="s">
        <v>226</v>
      </c>
      <c r="AE171" s="4" t="s">
        <v>1182</v>
      </c>
      <c r="AF171" s="4" t="s">
        <v>1183</v>
      </c>
      <c r="AG171" s="4" t="s">
        <v>1184</v>
      </c>
      <c r="AH171" s="4" t="s">
        <v>1185</v>
      </c>
      <c r="AI171" s="4" t="s">
        <v>50</v>
      </c>
      <c r="AJ171" s="4" t="s">
        <v>50</v>
      </c>
      <c r="AK171" s="4" t="s">
        <v>50</v>
      </c>
      <c r="AL171" s="4" t="s">
        <v>50</v>
      </c>
    </row>
    <row r="172" customFormat="false" ht="13.8" hidden="false" customHeight="false" outlineLevel="0" collapsed="false">
      <c r="B172" s="0" t="str">
        <f aca="false">HYPERLINK("https://genome.ucsc.edu/cgi-bin/hgTracks?db=hg19&amp;position=chr18%3A12463203%2D12463203", "chr18:12463203")</f>
        <v>chr18:12463203</v>
      </c>
      <c r="C172" s="0" t="s">
        <v>278</v>
      </c>
      <c r="D172" s="0" t="n">
        <v>12463203</v>
      </c>
      <c r="E172" s="0" t="n">
        <v>12463203</v>
      </c>
      <c r="F172" s="0" t="s">
        <v>40</v>
      </c>
      <c r="G172" s="0" t="s">
        <v>39</v>
      </c>
      <c r="H172" s="0" t="s">
        <v>1186</v>
      </c>
      <c r="I172" s="0" t="s">
        <v>721</v>
      </c>
      <c r="J172" s="0" t="s">
        <v>722</v>
      </c>
      <c r="K172" s="0" t="s">
        <v>50</v>
      </c>
      <c r="L172" s="0" t="str">
        <f aca="false">HYPERLINK("https://www.ncbi.nlm.nih.gov/snp/rs185631138", "rs185631138")</f>
        <v>rs185631138</v>
      </c>
      <c r="M172" s="0" t="str">
        <f aca="false">HYPERLINK("https://www.genecards.org/Search/Keyword?queryString=%5Baliases%5D(%20SPIRE1%20)&amp;keywords=SPIRE1", "SPIRE1")</f>
        <v>SPIRE1</v>
      </c>
      <c r="N172" s="0" t="s">
        <v>80</v>
      </c>
      <c r="O172" s="0" t="s">
        <v>50</v>
      </c>
      <c r="P172" s="0" t="s">
        <v>50</v>
      </c>
      <c r="Q172" s="0" t="n">
        <v>0.0109</v>
      </c>
      <c r="R172" s="0" t="n">
        <v>0.001</v>
      </c>
      <c r="S172" s="0" t="n">
        <v>0.0008</v>
      </c>
      <c r="T172" s="0" t="n">
        <v>-1</v>
      </c>
      <c r="U172" s="0" t="n">
        <v>0.002</v>
      </c>
      <c r="V172" s="0" t="s">
        <v>50</v>
      </c>
      <c r="W172" s="0" t="s">
        <v>50</v>
      </c>
      <c r="X172" s="0" t="s">
        <v>81</v>
      </c>
      <c r="Y172" s="0" t="s">
        <v>82</v>
      </c>
      <c r="Z172" s="0" t="s">
        <v>50</v>
      </c>
      <c r="AA172" s="0" t="s">
        <v>50</v>
      </c>
      <c r="AB172" s="0" t="s">
        <v>50</v>
      </c>
      <c r="AC172" s="0" t="s">
        <v>53</v>
      </c>
      <c r="AD172" s="0" t="s">
        <v>54</v>
      </c>
      <c r="AE172" s="0" t="s">
        <v>1187</v>
      </c>
      <c r="AF172" s="0" t="s">
        <v>1188</v>
      </c>
      <c r="AG172" s="0" t="s">
        <v>1189</v>
      </c>
      <c r="AH172" s="0" t="s">
        <v>50</v>
      </c>
      <c r="AI172" s="0" t="s">
        <v>50</v>
      </c>
      <c r="AJ172" s="0" t="s">
        <v>50</v>
      </c>
      <c r="AK172" s="0" t="s">
        <v>50</v>
      </c>
      <c r="AL172" s="0" t="s">
        <v>50</v>
      </c>
    </row>
    <row r="173" customFormat="false" ht="13.8" hidden="false" customHeight="false" outlineLevel="0" collapsed="false">
      <c r="B173" s="0" t="str">
        <f aca="false">HYPERLINK("https://genome.ucsc.edu/cgi-bin/hgTracks?db=hg19&amp;position=chr18%3A14764190%2D14764190", "chr18:14764190")</f>
        <v>chr18:14764190</v>
      </c>
      <c r="C173" s="0" t="s">
        <v>278</v>
      </c>
      <c r="D173" s="0" t="n">
        <v>14764190</v>
      </c>
      <c r="E173" s="0" t="n">
        <v>14764190</v>
      </c>
      <c r="F173" s="0" t="s">
        <v>75</v>
      </c>
      <c r="G173" s="0" t="s">
        <v>74</v>
      </c>
      <c r="H173" s="0" t="s">
        <v>1190</v>
      </c>
      <c r="I173" s="0" t="s">
        <v>1191</v>
      </c>
      <c r="J173" s="0" t="s">
        <v>1192</v>
      </c>
      <c r="K173" s="0" t="s">
        <v>50</v>
      </c>
      <c r="L173" s="0" t="s">
        <v>50</v>
      </c>
      <c r="M173" s="0" t="str">
        <f aca="false">HYPERLINK("https://www.genecards.org/Search/Keyword?queryString=%5Baliases%5D(%20ANKRD30B%20)&amp;keywords=ANKRD30B", "ANKRD30B")</f>
        <v>ANKRD30B</v>
      </c>
      <c r="N173" s="0" t="s">
        <v>80</v>
      </c>
      <c r="O173" s="0" t="s">
        <v>50</v>
      </c>
      <c r="P173" s="0" t="s">
        <v>50</v>
      </c>
      <c r="Q173" s="0" t="n">
        <v>0.0074</v>
      </c>
      <c r="R173" s="0" t="n">
        <v>0.0018</v>
      </c>
      <c r="S173" s="0" t="n">
        <v>0.0018</v>
      </c>
      <c r="T173" s="0" t="n">
        <v>-1</v>
      </c>
      <c r="U173" s="0" t="n">
        <v>0.003</v>
      </c>
      <c r="V173" s="0" t="s">
        <v>50</v>
      </c>
      <c r="W173" s="0" t="s">
        <v>50</v>
      </c>
      <c r="X173" s="0" t="s">
        <v>49</v>
      </c>
      <c r="Y173" s="0" t="s">
        <v>82</v>
      </c>
      <c r="Z173" s="0" t="s">
        <v>50</v>
      </c>
      <c r="AA173" s="0" t="s">
        <v>50</v>
      </c>
      <c r="AB173" s="0" t="s">
        <v>50</v>
      </c>
      <c r="AC173" s="0" t="s">
        <v>53</v>
      </c>
      <c r="AD173" s="0" t="s">
        <v>54</v>
      </c>
      <c r="AE173" s="0" t="s">
        <v>1193</v>
      </c>
      <c r="AF173" s="0" t="s">
        <v>1194</v>
      </c>
      <c r="AG173" s="0" t="s">
        <v>50</v>
      </c>
      <c r="AH173" s="0" t="s">
        <v>50</v>
      </c>
      <c r="AI173" s="0" t="s">
        <v>50</v>
      </c>
      <c r="AJ173" s="0" t="s">
        <v>50</v>
      </c>
      <c r="AK173" s="0" t="s">
        <v>50</v>
      </c>
      <c r="AL173" s="0" t="s">
        <v>50</v>
      </c>
    </row>
    <row r="174" customFormat="false" ht="13.8" hidden="false" customHeight="false" outlineLevel="0" collapsed="false">
      <c r="B174" s="0" t="str">
        <f aca="false">HYPERLINK("https://genome.ucsc.edu/cgi-bin/hgTracks?db=hg19&amp;position=chr18%3A23836102%2D23836102", "chr18:23836102")</f>
        <v>chr18:23836102</v>
      </c>
      <c r="C174" s="0" t="s">
        <v>278</v>
      </c>
      <c r="D174" s="0" t="n">
        <v>23836102</v>
      </c>
      <c r="E174" s="0" t="n">
        <v>23836102</v>
      </c>
      <c r="F174" s="0" t="s">
        <v>308</v>
      </c>
      <c r="G174" s="0" t="s">
        <v>40</v>
      </c>
      <c r="H174" s="0" t="s">
        <v>1195</v>
      </c>
      <c r="I174" s="0" t="s">
        <v>488</v>
      </c>
      <c r="J174" s="0" t="s">
        <v>537</v>
      </c>
      <c r="K174" s="0" t="s">
        <v>50</v>
      </c>
      <c r="L174" s="0" t="s">
        <v>50</v>
      </c>
      <c r="M174" s="0" t="str">
        <f aca="false">HYPERLINK("https://www.genecards.org/Search/Keyword?queryString=%5Baliases%5D(%20TAF4B%20)&amp;keywords=TAF4B", "TAF4B")</f>
        <v>TAF4B</v>
      </c>
      <c r="N174" s="0" t="s">
        <v>390</v>
      </c>
      <c r="O174" s="0" t="s">
        <v>50</v>
      </c>
      <c r="P174" s="0" t="s">
        <v>50</v>
      </c>
      <c r="Q174" s="0" t="n">
        <v>0.0044</v>
      </c>
      <c r="R174" s="0" t="n">
        <v>0.0025</v>
      </c>
      <c r="S174" s="0" t="n">
        <v>0.0028</v>
      </c>
      <c r="T174" s="0" t="n">
        <v>-1</v>
      </c>
      <c r="U174" s="0" t="n">
        <v>0.0029</v>
      </c>
      <c r="V174" s="0" t="s">
        <v>50</v>
      </c>
      <c r="W174" s="0" t="s">
        <v>50</v>
      </c>
      <c r="X174" s="0" t="s">
        <v>50</v>
      </c>
      <c r="Y174" s="0" t="s">
        <v>50</v>
      </c>
      <c r="Z174" s="0" t="s">
        <v>50</v>
      </c>
      <c r="AA174" s="0" t="s">
        <v>50</v>
      </c>
      <c r="AB174" s="0" t="s">
        <v>50</v>
      </c>
      <c r="AC174" s="0" t="s">
        <v>53</v>
      </c>
      <c r="AD174" s="0" t="s">
        <v>226</v>
      </c>
      <c r="AE174" s="0" t="s">
        <v>1196</v>
      </c>
      <c r="AF174" s="0" t="s">
        <v>1197</v>
      </c>
      <c r="AG174" s="0" t="s">
        <v>1198</v>
      </c>
      <c r="AH174" s="0" t="s">
        <v>1199</v>
      </c>
      <c r="AI174" s="0" t="s">
        <v>50</v>
      </c>
      <c r="AJ174" s="0" t="s">
        <v>50</v>
      </c>
      <c r="AK174" s="0" t="s">
        <v>50</v>
      </c>
      <c r="AL174" s="0" t="s">
        <v>50</v>
      </c>
    </row>
    <row r="175" customFormat="false" ht="13.8" hidden="false" customHeight="false" outlineLevel="0" collapsed="false">
      <c r="B175" s="0" t="str">
        <f aca="false">HYPERLINK("https://genome.ucsc.edu/cgi-bin/hgTracks?db=hg19&amp;position=chr18%3A23915420%2D23915420", "chr18:23915420")</f>
        <v>chr18:23915420</v>
      </c>
      <c r="C175" s="0" t="s">
        <v>278</v>
      </c>
      <c r="D175" s="0" t="n">
        <v>23915420</v>
      </c>
      <c r="E175" s="0" t="n">
        <v>23915420</v>
      </c>
      <c r="F175" s="0" t="s">
        <v>74</v>
      </c>
      <c r="G175" s="0" t="s">
        <v>75</v>
      </c>
      <c r="H175" s="0" t="s">
        <v>1200</v>
      </c>
      <c r="I175" s="0" t="s">
        <v>678</v>
      </c>
      <c r="J175" s="0" t="s">
        <v>1201</v>
      </c>
      <c r="K175" s="0" t="s">
        <v>50</v>
      </c>
      <c r="L175" s="0" t="str">
        <f aca="false">HYPERLINK("https://www.ncbi.nlm.nih.gov/snp/rs138995237", "rs138995237")</f>
        <v>rs138995237</v>
      </c>
      <c r="M175" s="0" t="str">
        <f aca="false">HYPERLINK("https://www.genecards.org/Search/Keyword?queryString=%5Baliases%5D(%20TAF4B%20)&amp;keywords=TAF4B", "TAF4B")</f>
        <v>TAF4B</v>
      </c>
      <c r="N175" s="0" t="s">
        <v>80</v>
      </c>
      <c r="O175" s="0" t="s">
        <v>50</v>
      </c>
      <c r="P175" s="0" t="s">
        <v>50</v>
      </c>
      <c r="Q175" s="0" t="n">
        <v>0.0043</v>
      </c>
      <c r="R175" s="0" t="n">
        <v>0.0023</v>
      </c>
      <c r="S175" s="0" t="n">
        <v>0.0024</v>
      </c>
      <c r="T175" s="0" t="n">
        <v>-1</v>
      </c>
      <c r="U175" s="0" t="n">
        <v>0.0018</v>
      </c>
      <c r="V175" s="0" t="s">
        <v>50</v>
      </c>
      <c r="W175" s="0" t="s">
        <v>50</v>
      </c>
      <c r="X175" s="0" t="s">
        <v>49</v>
      </c>
      <c r="Y175" s="0" t="s">
        <v>82</v>
      </c>
      <c r="Z175" s="0" t="s">
        <v>50</v>
      </c>
      <c r="AA175" s="0" t="s">
        <v>50</v>
      </c>
      <c r="AB175" s="0" t="s">
        <v>50</v>
      </c>
      <c r="AC175" s="0" t="s">
        <v>53</v>
      </c>
      <c r="AD175" s="0" t="s">
        <v>226</v>
      </c>
      <c r="AE175" s="0" t="s">
        <v>1196</v>
      </c>
      <c r="AF175" s="0" t="s">
        <v>1197</v>
      </c>
      <c r="AG175" s="0" t="s">
        <v>1198</v>
      </c>
      <c r="AH175" s="0" t="s">
        <v>1199</v>
      </c>
      <c r="AI175" s="0" t="s">
        <v>50</v>
      </c>
      <c r="AJ175" s="0" t="s">
        <v>50</v>
      </c>
      <c r="AK175" s="0" t="s">
        <v>50</v>
      </c>
      <c r="AL175" s="0" t="s">
        <v>50</v>
      </c>
    </row>
    <row r="176" customFormat="false" ht="13.8" hidden="false" customHeight="false" outlineLevel="0" collapsed="false">
      <c r="B176" s="0" t="str">
        <f aca="false">HYPERLINK("https://genome.ucsc.edu/cgi-bin/hgTracks?db=hg19&amp;position=chr18%3A24179683%2D24179683", "chr18:24179683")</f>
        <v>chr18:24179683</v>
      </c>
      <c r="C176" s="0" t="s">
        <v>278</v>
      </c>
      <c r="D176" s="0" t="n">
        <v>24179683</v>
      </c>
      <c r="E176" s="0" t="n">
        <v>24179683</v>
      </c>
      <c r="F176" s="0" t="s">
        <v>39</v>
      </c>
      <c r="G176" s="0" t="s">
        <v>75</v>
      </c>
      <c r="H176" s="0" t="s">
        <v>1202</v>
      </c>
      <c r="I176" s="0" t="s">
        <v>1203</v>
      </c>
      <c r="J176" s="0" t="s">
        <v>1204</v>
      </c>
      <c r="K176" s="0" t="s">
        <v>50</v>
      </c>
      <c r="L176" s="0" t="str">
        <f aca="false">HYPERLINK("https://www.ncbi.nlm.nih.gov/snp/rs112514007", "rs112514007")</f>
        <v>rs112514007</v>
      </c>
      <c r="M176" s="0" t="str">
        <f aca="false">HYPERLINK("https://www.genecards.org/Search/Keyword?queryString=%5Baliases%5D(%20KCTD1%20)&amp;keywords=KCTD1", "KCTD1")</f>
        <v>KCTD1</v>
      </c>
      <c r="N176" s="0" t="s">
        <v>390</v>
      </c>
      <c r="O176" s="0" t="s">
        <v>50</v>
      </c>
      <c r="P176" s="0" t="s">
        <v>50</v>
      </c>
      <c r="Q176" s="0" t="n">
        <v>0.0138</v>
      </c>
      <c r="R176" s="0" t="n">
        <v>0.0078</v>
      </c>
      <c r="S176" s="0" t="n">
        <v>0.0065</v>
      </c>
      <c r="T176" s="0" t="n">
        <v>-1</v>
      </c>
      <c r="U176" s="0" t="n">
        <v>0.0132</v>
      </c>
      <c r="V176" s="0" t="s">
        <v>50</v>
      </c>
      <c r="W176" s="0" t="s">
        <v>50</v>
      </c>
      <c r="X176" s="0" t="s">
        <v>50</v>
      </c>
      <c r="Y176" s="0" t="s">
        <v>50</v>
      </c>
      <c r="Z176" s="0" t="s">
        <v>50</v>
      </c>
      <c r="AA176" s="0" t="s">
        <v>50</v>
      </c>
      <c r="AB176" s="0" t="s">
        <v>50</v>
      </c>
      <c r="AC176" s="0" t="s">
        <v>53</v>
      </c>
      <c r="AD176" s="0" t="s">
        <v>54</v>
      </c>
      <c r="AE176" s="0" t="s">
        <v>1205</v>
      </c>
      <c r="AF176" s="0" t="s">
        <v>1206</v>
      </c>
      <c r="AG176" s="0" t="s">
        <v>1207</v>
      </c>
      <c r="AH176" s="0" t="s">
        <v>1208</v>
      </c>
      <c r="AI176" s="0" t="s">
        <v>50</v>
      </c>
      <c r="AJ176" s="0" t="s">
        <v>50</v>
      </c>
      <c r="AK176" s="0" t="s">
        <v>50</v>
      </c>
      <c r="AL176" s="0" t="s">
        <v>50</v>
      </c>
    </row>
    <row r="177" customFormat="false" ht="13.8" hidden="false" customHeight="false" outlineLevel="0" collapsed="false">
      <c r="B177" s="0" t="str">
        <f aca="false">HYPERLINK("https://genome.ucsc.edu/cgi-bin/hgTracks?db=hg19&amp;position=chr18%3A47352587%2D47352587", "chr18:47352587")</f>
        <v>chr18:47352587</v>
      </c>
      <c r="C177" s="0" t="s">
        <v>278</v>
      </c>
      <c r="D177" s="0" t="n">
        <v>47352587</v>
      </c>
      <c r="E177" s="0" t="n">
        <v>47352587</v>
      </c>
      <c r="F177" s="0" t="s">
        <v>308</v>
      </c>
      <c r="G177" s="0" t="s">
        <v>1209</v>
      </c>
      <c r="H177" s="0" t="s">
        <v>1210</v>
      </c>
      <c r="I177" s="0" t="s">
        <v>89</v>
      </c>
      <c r="J177" s="0" t="s">
        <v>1211</v>
      </c>
      <c r="K177" s="0" t="s">
        <v>50</v>
      </c>
      <c r="L177" s="0" t="s">
        <v>50</v>
      </c>
      <c r="M177" s="0" t="str">
        <f aca="false">HYPERLINK("https://www.genecards.org/Search/Keyword?queryString=%5Baliases%5D(%20MYO5B%20)%20OR%20%5Baliases%5D(%20SNHG22%20)&amp;keywords=MYO5B,SNHG22", "MYO5B;SNHG22")</f>
        <v>MYO5B;SNHG22</v>
      </c>
      <c r="N177" s="0" t="s">
        <v>282</v>
      </c>
      <c r="O177" s="0" t="s">
        <v>50</v>
      </c>
      <c r="P177" s="0" t="s">
        <v>1212</v>
      </c>
      <c r="Q177" s="0" t="n">
        <v>0.0061</v>
      </c>
      <c r="R177" s="0" t="n">
        <v>-1</v>
      </c>
      <c r="S177" s="0" t="n">
        <v>-1</v>
      </c>
      <c r="T177" s="0" t="n">
        <v>-1</v>
      </c>
      <c r="U177" s="0" t="n">
        <v>-1</v>
      </c>
      <c r="V177" s="0" t="s">
        <v>50</v>
      </c>
      <c r="W177" s="0" t="s">
        <v>50</v>
      </c>
      <c r="X177" s="0" t="s">
        <v>50</v>
      </c>
      <c r="Y177" s="0" t="s">
        <v>50</v>
      </c>
      <c r="Z177" s="0" t="s">
        <v>50</v>
      </c>
      <c r="AA177" s="0" t="s">
        <v>50</v>
      </c>
      <c r="AB177" s="0" t="s">
        <v>50</v>
      </c>
      <c r="AC177" s="0" t="s">
        <v>53</v>
      </c>
      <c r="AD177" s="0" t="s">
        <v>284</v>
      </c>
      <c r="AE177" s="0" t="s">
        <v>285</v>
      </c>
      <c r="AF177" s="0" t="s">
        <v>286</v>
      </c>
      <c r="AG177" s="0" t="s">
        <v>287</v>
      </c>
      <c r="AH177" s="0" t="s">
        <v>288</v>
      </c>
      <c r="AI177" s="0" t="s">
        <v>50</v>
      </c>
      <c r="AJ177" s="0" t="s">
        <v>50</v>
      </c>
      <c r="AK177" s="0" t="s">
        <v>50</v>
      </c>
      <c r="AL177" s="0" t="s">
        <v>50</v>
      </c>
    </row>
    <row r="178" customFormat="false" ht="13.8" hidden="false" customHeight="false" outlineLevel="0" collapsed="false">
      <c r="B178" s="0" t="str">
        <f aca="false">HYPERLINK("https://genome.ucsc.edu/cgi-bin/hgTracks?db=hg19&amp;position=chr18%3A47352599%2D47352599", "chr18:47352599")</f>
        <v>chr18:47352599</v>
      </c>
      <c r="C178" s="0" t="s">
        <v>278</v>
      </c>
      <c r="D178" s="0" t="n">
        <v>47352599</v>
      </c>
      <c r="E178" s="0" t="n">
        <v>47352599</v>
      </c>
      <c r="F178" s="0" t="s">
        <v>74</v>
      </c>
      <c r="G178" s="0" t="s">
        <v>40</v>
      </c>
      <c r="H178" s="0" t="s">
        <v>1213</v>
      </c>
      <c r="I178" s="0" t="s">
        <v>1214</v>
      </c>
      <c r="J178" s="0" t="s">
        <v>1215</v>
      </c>
      <c r="K178" s="0" t="s">
        <v>50</v>
      </c>
      <c r="L178" s="0" t="s">
        <v>50</v>
      </c>
      <c r="M178" s="0" t="str">
        <f aca="false">HYPERLINK("https://www.genecards.org/Search/Keyword?queryString=%5Baliases%5D(%20MYO5B%20)%20OR%20%5Baliases%5D(%20SNHG22%20)&amp;keywords=MYO5B,SNHG22", "MYO5B;SNHG22")</f>
        <v>MYO5B;SNHG22</v>
      </c>
      <c r="N178" s="0" t="s">
        <v>282</v>
      </c>
      <c r="O178" s="0" t="s">
        <v>50</v>
      </c>
      <c r="P178" s="0" t="s">
        <v>1216</v>
      </c>
      <c r="Q178" s="0" t="n">
        <v>0.010476</v>
      </c>
      <c r="R178" s="0" t="n">
        <v>0.0007</v>
      </c>
      <c r="S178" s="0" t="n">
        <v>0.0007</v>
      </c>
      <c r="T178" s="0" t="n">
        <v>-1</v>
      </c>
      <c r="U178" s="0" t="n">
        <v>0.0012</v>
      </c>
      <c r="V178" s="0" t="s">
        <v>50</v>
      </c>
      <c r="W178" s="0" t="s">
        <v>50</v>
      </c>
      <c r="X178" s="0" t="s">
        <v>50</v>
      </c>
      <c r="Y178" s="0" t="s">
        <v>50</v>
      </c>
      <c r="Z178" s="0" t="s">
        <v>50</v>
      </c>
      <c r="AA178" s="0" t="s">
        <v>50</v>
      </c>
      <c r="AB178" s="0" t="s">
        <v>50</v>
      </c>
      <c r="AC178" s="0" t="s">
        <v>53</v>
      </c>
      <c r="AD178" s="0" t="s">
        <v>284</v>
      </c>
      <c r="AE178" s="0" t="s">
        <v>285</v>
      </c>
      <c r="AF178" s="0" t="s">
        <v>286</v>
      </c>
      <c r="AG178" s="0" t="s">
        <v>287</v>
      </c>
      <c r="AH178" s="0" t="s">
        <v>288</v>
      </c>
      <c r="AI178" s="0" t="s">
        <v>50</v>
      </c>
      <c r="AJ178" s="0" t="s">
        <v>50</v>
      </c>
      <c r="AK178" s="0" t="s">
        <v>50</v>
      </c>
      <c r="AL178" s="0" t="s">
        <v>50</v>
      </c>
    </row>
    <row r="179" customFormat="false" ht="13.8" hidden="false" customHeight="false" outlineLevel="0" collapsed="false">
      <c r="B179" s="0" t="str">
        <f aca="false">HYPERLINK("https://genome.ucsc.edu/cgi-bin/hgTracks?db=hg19&amp;position=chr18%3A47352785%2D47352785", "chr18:47352785")</f>
        <v>chr18:47352785</v>
      </c>
      <c r="C179" s="0" t="s">
        <v>278</v>
      </c>
      <c r="D179" s="0" t="n">
        <v>47352785</v>
      </c>
      <c r="E179" s="0" t="n">
        <v>47352785</v>
      </c>
      <c r="F179" s="0" t="s">
        <v>75</v>
      </c>
      <c r="G179" s="0" t="s">
        <v>39</v>
      </c>
      <c r="H179" s="0" t="s">
        <v>1217</v>
      </c>
      <c r="I179" s="0" t="s">
        <v>1218</v>
      </c>
      <c r="J179" s="0" t="s">
        <v>1219</v>
      </c>
      <c r="K179" s="0" t="s">
        <v>50</v>
      </c>
      <c r="L179" s="0" t="str">
        <f aca="false">HYPERLINK("https://www.ncbi.nlm.nih.gov/snp/rs1058553", "rs1058553")</f>
        <v>rs1058553</v>
      </c>
      <c r="M179" s="0" t="str">
        <f aca="false">HYPERLINK("https://www.genecards.org/Search/Keyword?queryString=%5Baliases%5D(%20MYO5B%20)%20OR%20%5Baliases%5D(%20SNHG22%20)&amp;keywords=MYO5B,SNHG22", "MYO5B;SNHG22")</f>
        <v>MYO5B;SNHG22</v>
      </c>
      <c r="N179" s="0" t="s">
        <v>282</v>
      </c>
      <c r="O179" s="0" t="s">
        <v>50</v>
      </c>
      <c r="P179" s="0" t="s">
        <v>1220</v>
      </c>
      <c r="Q179" s="0" t="n">
        <v>0.0258</v>
      </c>
      <c r="R179" s="0" t="n">
        <v>0.0014</v>
      </c>
      <c r="S179" s="0" t="n">
        <v>0.0021</v>
      </c>
      <c r="T179" s="0" t="n">
        <v>-1</v>
      </c>
      <c r="U179" s="0" t="n">
        <v>0.0049</v>
      </c>
      <c r="V179" s="0" t="s">
        <v>50</v>
      </c>
      <c r="W179" s="0" t="s">
        <v>50</v>
      </c>
      <c r="X179" s="0" t="s">
        <v>50</v>
      </c>
      <c r="Y179" s="0" t="s">
        <v>50</v>
      </c>
      <c r="Z179" s="0" t="s">
        <v>50</v>
      </c>
      <c r="AA179" s="0" t="s">
        <v>50</v>
      </c>
      <c r="AB179" s="0" t="s">
        <v>50</v>
      </c>
      <c r="AC179" s="0" t="s">
        <v>53</v>
      </c>
      <c r="AD179" s="0" t="s">
        <v>284</v>
      </c>
      <c r="AE179" s="0" t="s">
        <v>285</v>
      </c>
      <c r="AF179" s="0" t="s">
        <v>286</v>
      </c>
      <c r="AG179" s="0" t="s">
        <v>287</v>
      </c>
      <c r="AH179" s="0" t="s">
        <v>288</v>
      </c>
      <c r="AI179" s="0" t="s">
        <v>50</v>
      </c>
      <c r="AJ179" s="0" t="s">
        <v>50</v>
      </c>
      <c r="AK179" s="0" t="s">
        <v>50</v>
      </c>
      <c r="AL179" s="0" t="s">
        <v>50</v>
      </c>
    </row>
    <row r="180" customFormat="false" ht="13.8" hidden="false" customHeight="false" outlineLevel="0" collapsed="false">
      <c r="B180" s="0" t="str">
        <f aca="false">HYPERLINK("https://genome.ucsc.edu/cgi-bin/hgTracks?db=hg19&amp;position=chr18%3A55362262%2D55362264", "chr18:55362262")</f>
        <v>chr18:55362262</v>
      </c>
      <c r="C180" s="0" t="s">
        <v>278</v>
      </c>
      <c r="D180" s="0" t="n">
        <v>55362262</v>
      </c>
      <c r="E180" s="0" t="n">
        <v>55362264</v>
      </c>
      <c r="F180" s="0" t="s">
        <v>1179</v>
      </c>
      <c r="G180" s="0" t="s">
        <v>308</v>
      </c>
      <c r="H180" s="0" t="s">
        <v>815</v>
      </c>
      <c r="I180" s="0" t="s">
        <v>1058</v>
      </c>
      <c r="J180" s="0" t="s">
        <v>1059</v>
      </c>
      <c r="K180" s="0" t="s">
        <v>50</v>
      </c>
      <c r="L180" s="0" t="s">
        <v>50</v>
      </c>
      <c r="M180" s="0" t="str">
        <f aca="false">HYPERLINK("https://www.genecards.org/Search/Keyword?queryString=%5Baliases%5D(%20ATP8B1%20)&amp;keywords=ATP8B1", "ATP8B1")</f>
        <v>ATP8B1</v>
      </c>
      <c r="N180" s="0" t="s">
        <v>347</v>
      </c>
      <c r="O180" s="0" t="s">
        <v>50</v>
      </c>
      <c r="P180" s="0" t="s">
        <v>50</v>
      </c>
      <c r="Q180" s="0" t="n">
        <v>-1</v>
      </c>
      <c r="R180" s="0" t="n">
        <v>-1</v>
      </c>
      <c r="S180" s="0" t="n">
        <v>-1</v>
      </c>
      <c r="T180" s="0" t="n">
        <v>-1</v>
      </c>
      <c r="U180" s="0" t="n">
        <v>-1</v>
      </c>
      <c r="V180" s="0" t="s">
        <v>50</v>
      </c>
      <c r="W180" s="0" t="s">
        <v>50</v>
      </c>
      <c r="X180" s="0" t="s">
        <v>50</v>
      </c>
      <c r="Y180" s="0" t="s">
        <v>50</v>
      </c>
      <c r="Z180" s="0" t="s">
        <v>50</v>
      </c>
      <c r="AA180" s="0" t="s">
        <v>50</v>
      </c>
      <c r="AB180" s="0" t="s">
        <v>50</v>
      </c>
      <c r="AC180" s="0" t="s">
        <v>53</v>
      </c>
      <c r="AD180" s="0" t="s">
        <v>54</v>
      </c>
      <c r="AE180" s="0" t="s">
        <v>1221</v>
      </c>
      <c r="AF180" s="0" t="s">
        <v>1222</v>
      </c>
      <c r="AG180" s="0" t="s">
        <v>1223</v>
      </c>
      <c r="AH180" s="0" t="s">
        <v>1224</v>
      </c>
      <c r="AI180" s="0" t="s">
        <v>50</v>
      </c>
      <c r="AJ180" s="0" t="s">
        <v>50</v>
      </c>
      <c r="AK180" s="0" t="s">
        <v>50</v>
      </c>
      <c r="AL180" s="0" t="s">
        <v>50</v>
      </c>
    </row>
    <row r="181" customFormat="false" ht="13.8" hidden="false" customHeight="false" outlineLevel="0" collapsed="false">
      <c r="B181" s="0" t="str">
        <f aca="false">HYPERLINK("https://genome.ucsc.edu/cgi-bin/hgTracks?db=hg19&amp;position=chr18%3A56363570%2D56363570", "chr18:56363570")</f>
        <v>chr18:56363570</v>
      </c>
      <c r="C181" s="0" t="s">
        <v>278</v>
      </c>
      <c r="D181" s="0" t="n">
        <v>56363570</v>
      </c>
      <c r="E181" s="0" t="n">
        <v>56363570</v>
      </c>
      <c r="F181" s="0" t="s">
        <v>308</v>
      </c>
      <c r="G181" s="0" t="s">
        <v>40</v>
      </c>
      <c r="H181" s="0" t="s">
        <v>1225</v>
      </c>
      <c r="I181" s="0" t="s">
        <v>1226</v>
      </c>
      <c r="J181" s="0" t="s">
        <v>1227</v>
      </c>
      <c r="K181" s="0" t="s">
        <v>50</v>
      </c>
      <c r="L181" s="0" t="s">
        <v>50</v>
      </c>
      <c r="M181" s="0" t="str">
        <f aca="false">HYPERLINK("https://www.genecards.org/Search/Keyword?queryString=%5Baliases%5D(%20MALT1%20)&amp;keywords=MALT1", "MALT1")</f>
        <v>MALT1</v>
      </c>
      <c r="N181" s="0" t="s">
        <v>347</v>
      </c>
      <c r="O181" s="0" t="s">
        <v>50</v>
      </c>
      <c r="P181" s="0" t="s">
        <v>50</v>
      </c>
      <c r="Q181" s="0" t="n">
        <v>-1</v>
      </c>
      <c r="R181" s="0" t="n">
        <v>-1</v>
      </c>
      <c r="S181" s="0" t="n">
        <v>-1</v>
      </c>
      <c r="T181" s="0" t="n">
        <v>-1</v>
      </c>
      <c r="U181" s="0" t="n">
        <v>-1</v>
      </c>
      <c r="V181" s="0" t="s">
        <v>50</v>
      </c>
      <c r="W181" s="0" t="s">
        <v>50</v>
      </c>
      <c r="X181" s="0" t="s">
        <v>50</v>
      </c>
      <c r="Y181" s="0" t="s">
        <v>50</v>
      </c>
      <c r="Z181" s="0" t="s">
        <v>50</v>
      </c>
      <c r="AA181" s="0" t="s">
        <v>50</v>
      </c>
      <c r="AB181" s="0" t="s">
        <v>50</v>
      </c>
      <c r="AC181" s="0" t="s">
        <v>455</v>
      </c>
      <c r="AD181" s="0" t="s">
        <v>54</v>
      </c>
      <c r="AE181" s="0" t="s">
        <v>1228</v>
      </c>
      <c r="AF181" s="0" t="s">
        <v>1229</v>
      </c>
      <c r="AG181" s="0" t="s">
        <v>1230</v>
      </c>
      <c r="AH181" s="0" t="s">
        <v>1231</v>
      </c>
      <c r="AI181" s="0" t="s">
        <v>50</v>
      </c>
      <c r="AJ181" s="0" t="s">
        <v>50</v>
      </c>
      <c r="AK181" s="0" t="s">
        <v>50</v>
      </c>
      <c r="AL181" s="0" t="s">
        <v>50</v>
      </c>
    </row>
    <row r="182" customFormat="false" ht="13.8" hidden="false" customHeight="false" outlineLevel="0" collapsed="false">
      <c r="B182" s="0" t="str">
        <f aca="false">HYPERLINK("https://genome.ucsc.edu/cgi-bin/hgTracks?db=hg19&amp;position=chr19%3A2811728%2D2811770", "chr19:2811728")</f>
        <v>chr19:2811728</v>
      </c>
      <c r="C182" s="0" t="s">
        <v>102</v>
      </c>
      <c r="D182" s="0" t="n">
        <v>2811728</v>
      </c>
      <c r="E182" s="0" t="n">
        <v>2811770</v>
      </c>
      <c r="F182" s="0" t="s">
        <v>1232</v>
      </c>
      <c r="G182" s="0" t="s">
        <v>308</v>
      </c>
      <c r="H182" s="0" t="s">
        <v>1233</v>
      </c>
      <c r="I182" s="0" t="s">
        <v>367</v>
      </c>
      <c r="J182" s="0" t="s">
        <v>1234</v>
      </c>
      <c r="K182" s="0" t="s">
        <v>50</v>
      </c>
      <c r="L182" s="0" t="str">
        <f aca="false">HYPERLINK("https://www.ncbi.nlm.nih.gov/snp/rs768023979", "rs768023979")</f>
        <v>rs768023979</v>
      </c>
      <c r="M182" s="0" t="str">
        <f aca="false">HYPERLINK("https://www.genecards.org/Search/Keyword?queryString=%5Baliases%5D(%20THOP1%20)&amp;keywords=THOP1", "THOP1")</f>
        <v>THOP1</v>
      </c>
      <c r="N182" s="0" t="s">
        <v>92</v>
      </c>
      <c r="O182" s="0" t="s">
        <v>312</v>
      </c>
      <c r="P182" s="0" t="s">
        <v>1235</v>
      </c>
      <c r="Q182" s="0" t="n">
        <v>0.0099</v>
      </c>
      <c r="R182" s="0" t="n">
        <v>0.0103</v>
      </c>
      <c r="S182" s="0" t="n">
        <v>0.0094</v>
      </c>
      <c r="T182" s="0" t="n">
        <v>-1</v>
      </c>
      <c r="U182" s="0" t="n">
        <v>0.0048</v>
      </c>
      <c r="V182" s="0" t="s">
        <v>50</v>
      </c>
      <c r="W182" s="0" t="s">
        <v>50</v>
      </c>
      <c r="X182" s="0" t="s">
        <v>50</v>
      </c>
      <c r="Y182" s="0" t="s">
        <v>50</v>
      </c>
      <c r="Z182" s="0" t="s">
        <v>50</v>
      </c>
      <c r="AA182" s="0" t="s">
        <v>50</v>
      </c>
      <c r="AB182" s="0" t="s">
        <v>50</v>
      </c>
      <c r="AC182" s="0" t="s">
        <v>53</v>
      </c>
      <c r="AD182" s="0" t="s">
        <v>54</v>
      </c>
      <c r="AE182" s="0" t="s">
        <v>1236</v>
      </c>
      <c r="AF182" s="0" t="s">
        <v>1237</v>
      </c>
      <c r="AG182" s="0" t="s">
        <v>1238</v>
      </c>
      <c r="AH182" s="0" t="s">
        <v>50</v>
      </c>
      <c r="AI182" s="0" t="s">
        <v>632</v>
      </c>
      <c r="AJ182" s="0" t="s">
        <v>50</v>
      </c>
      <c r="AK182" s="0" t="s">
        <v>50</v>
      </c>
      <c r="AL182" s="0" t="s">
        <v>50</v>
      </c>
    </row>
    <row r="183" customFormat="false" ht="13.8" hidden="false" customHeight="false" outlineLevel="0" collapsed="false">
      <c r="B183" s="0" t="str">
        <f aca="false">HYPERLINK("https://genome.ucsc.edu/cgi-bin/hgTracks?db=hg19&amp;position=chr19%3A3121440%2D3121440", "chr19:3121440")</f>
        <v>chr19:3121440</v>
      </c>
      <c r="C183" s="0" t="s">
        <v>102</v>
      </c>
      <c r="D183" s="0" t="n">
        <v>3121440</v>
      </c>
      <c r="E183" s="0" t="n">
        <v>3121440</v>
      </c>
      <c r="F183" s="0" t="s">
        <v>39</v>
      </c>
      <c r="G183" s="0" t="s">
        <v>74</v>
      </c>
      <c r="H183" s="0" t="s">
        <v>1239</v>
      </c>
      <c r="I183" s="0" t="s">
        <v>1240</v>
      </c>
      <c r="J183" s="0" t="s">
        <v>1241</v>
      </c>
      <c r="K183" s="0" t="s">
        <v>50</v>
      </c>
      <c r="L183" s="0" t="str">
        <f aca="false">HYPERLINK("https://www.ncbi.nlm.nih.gov/snp/rs566082996", "rs566082996")</f>
        <v>rs566082996</v>
      </c>
      <c r="M183" s="0" t="str">
        <f aca="false">HYPERLINK("https://www.genecards.org/Search/Keyword?queryString=%5Baliases%5D(%20GNA11%20)&amp;keywords=GNA11", "GNA11")</f>
        <v>GNA11</v>
      </c>
      <c r="N183" s="0" t="s">
        <v>929</v>
      </c>
      <c r="O183" s="0" t="s">
        <v>50</v>
      </c>
      <c r="P183" s="0" t="s">
        <v>1242</v>
      </c>
      <c r="Q183" s="0" t="n">
        <v>0.0196</v>
      </c>
      <c r="R183" s="0" t="n">
        <v>0.0178</v>
      </c>
      <c r="S183" s="0" t="n">
        <v>0.0153</v>
      </c>
      <c r="T183" s="0" t="n">
        <v>-1</v>
      </c>
      <c r="U183" s="0" t="n">
        <v>0.0245</v>
      </c>
      <c r="V183" s="0" t="s">
        <v>50</v>
      </c>
      <c r="W183" s="0" t="s">
        <v>50</v>
      </c>
      <c r="X183" s="0" t="s">
        <v>50</v>
      </c>
      <c r="Y183" s="0" t="s">
        <v>50</v>
      </c>
      <c r="Z183" s="0" t="s">
        <v>50</v>
      </c>
      <c r="AA183" s="0" t="s">
        <v>50</v>
      </c>
      <c r="AB183" s="0" t="s">
        <v>50</v>
      </c>
      <c r="AC183" s="0" t="s">
        <v>53</v>
      </c>
      <c r="AD183" s="0" t="s">
        <v>54</v>
      </c>
      <c r="AE183" s="0" t="s">
        <v>1243</v>
      </c>
      <c r="AF183" s="0" t="s">
        <v>1244</v>
      </c>
      <c r="AG183" s="0" t="s">
        <v>1245</v>
      </c>
      <c r="AH183" s="0" t="s">
        <v>1246</v>
      </c>
      <c r="AI183" s="0" t="s">
        <v>50</v>
      </c>
      <c r="AJ183" s="0" t="s">
        <v>50</v>
      </c>
      <c r="AK183" s="0" t="s">
        <v>50</v>
      </c>
      <c r="AL183" s="0" t="s">
        <v>50</v>
      </c>
    </row>
    <row r="184" customFormat="false" ht="13.8" hidden="false" customHeight="false" outlineLevel="0" collapsed="false">
      <c r="B184" s="0" t="str">
        <f aca="false">HYPERLINK("https://genome.ucsc.edu/cgi-bin/hgTracks?db=hg19&amp;position=chr19%3A3453692%2D3453692", "chr19:3453692")</f>
        <v>chr19:3453692</v>
      </c>
      <c r="C184" s="0" t="s">
        <v>102</v>
      </c>
      <c r="D184" s="0" t="n">
        <v>3453692</v>
      </c>
      <c r="E184" s="0" t="n">
        <v>3453692</v>
      </c>
      <c r="F184" s="0" t="s">
        <v>74</v>
      </c>
      <c r="G184" s="0" t="s">
        <v>75</v>
      </c>
      <c r="H184" s="0" t="s">
        <v>1247</v>
      </c>
      <c r="I184" s="0" t="s">
        <v>1248</v>
      </c>
      <c r="J184" s="0" t="s">
        <v>1249</v>
      </c>
      <c r="K184" s="0" t="s">
        <v>50</v>
      </c>
      <c r="L184" s="0" t="str">
        <f aca="false">HYPERLINK("https://www.ncbi.nlm.nih.gov/snp/rs144206161", "rs144206161")</f>
        <v>rs144206161</v>
      </c>
      <c r="M184" s="0" t="str">
        <f aca="false">HYPERLINK("https://www.genecards.org/Search/Keyword?queryString=%5Baliases%5D(%20NFIC%20)&amp;keywords=NFIC", "NFIC")</f>
        <v>NFIC</v>
      </c>
      <c r="N184" s="0" t="s">
        <v>80</v>
      </c>
      <c r="O184" s="0" t="s">
        <v>50</v>
      </c>
      <c r="P184" s="0" t="s">
        <v>50</v>
      </c>
      <c r="Q184" s="0" t="n">
        <v>0.0207</v>
      </c>
      <c r="R184" s="0" t="n">
        <v>0.0096</v>
      </c>
      <c r="S184" s="0" t="n">
        <v>0.0108</v>
      </c>
      <c r="T184" s="0" t="n">
        <v>-1</v>
      </c>
      <c r="U184" s="0" t="n">
        <v>0.0075</v>
      </c>
      <c r="V184" s="0" t="s">
        <v>50</v>
      </c>
      <c r="W184" s="0" t="s">
        <v>50</v>
      </c>
      <c r="X184" s="0" t="s">
        <v>81</v>
      </c>
      <c r="Y184" s="0" t="s">
        <v>82</v>
      </c>
      <c r="Z184" s="0" t="s">
        <v>50</v>
      </c>
      <c r="AA184" s="0" t="s">
        <v>50</v>
      </c>
      <c r="AB184" s="0" t="s">
        <v>50</v>
      </c>
      <c r="AC184" s="0" t="s">
        <v>53</v>
      </c>
      <c r="AD184" s="0" t="s">
        <v>54</v>
      </c>
      <c r="AE184" s="0" t="s">
        <v>1250</v>
      </c>
      <c r="AF184" s="0" t="s">
        <v>1251</v>
      </c>
      <c r="AG184" s="0" t="s">
        <v>1252</v>
      </c>
      <c r="AH184" s="0" t="s">
        <v>50</v>
      </c>
      <c r="AI184" s="0" t="s">
        <v>50</v>
      </c>
      <c r="AJ184" s="0" t="s">
        <v>50</v>
      </c>
      <c r="AK184" s="0" t="s">
        <v>50</v>
      </c>
      <c r="AL184" s="0" t="s">
        <v>50</v>
      </c>
    </row>
    <row r="185" customFormat="false" ht="13.8" hidden="false" customHeight="false" outlineLevel="0" collapsed="false">
      <c r="B185" s="0" t="str">
        <f aca="false">HYPERLINK("https://genome.ucsc.edu/cgi-bin/hgTracks?db=hg19&amp;position=chr19%3A9024211%2D9024211", "chr19:9024211")</f>
        <v>chr19:9024211</v>
      </c>
      <c r="C185" s="0" t="s">
        <v>102</v>
      </c>
      <c r="D185" s="0" t="n">
        <v>9024211</v>
      </c>
      <c r="E185" s="0" t="n">
        <v>9024211</v>
      </c>
      <c r="F185" s="0" t="s">
        <v>40</v>
      </c>
      <c r="G185" s="0" t="s">
        <v>39</v>
      </c>
      <c r="H185" s="0" t="s">
        <v>1253</v>
      </c>
      <c r="I185" s="0" t="s">
        <v>1254</v>
      </c>
      <c r="J185" s="0" t="s">
        <v>1255</v>
      </c>
      <c r="K185" s="0" t="s">
        <v>50</v>
      </c>
      <c r="L185" s="0" t="s">
        <v>50</v>
      </c>
      <c r="M185" s="0" t="str">
        <f aca="false">HYPERLINK("https://www.genecards.org/Search/Keyword?queryString=%5Baliases%5D(%20MUC16%20)&amp;keywords=MUC16", "MUC16")</f>
        <v>MUC16</v>
      </c>
      <c r="N185" s="0" t="s">
        <v>80</v>
      </c>
      <c r="O185" s="0" t="s">
        <v>50</v>
      </c>
      <c r="P185" s="0" t="s">
        <v>50</v>
      </c>
      <c r="Q185" s="0" t="n">
        <v>0.0005</v>
      </c>
      <c r="R185" s="0" t="n">
        <v>-1</v>
      </c>
      <c r="S185" s="0" t="n">
        <v>-1</v>
      </c>
      <c r="T185" s="0" t="n">
        <v>-1</v>
      </c>
      <c r="U185" s="0" t="n">
        <v>-1</v>
      </c>
      <c r="V185" s="0" t="s">
        <v>50</v>
      </c>
      <c r="W185" s="0" t="s">
        <v>49</v>
      </c>
      <c r="X185" s="0" t="s">
        <v>348</v>
      </c>
      <c r="Y185" s="0" t="s">
        <v>67</v>
      </c>
      <c r="Z185" s="0" t="s">
        <v>50</v>
      </c>
      <c r="AA185" s="0" t="s">
        <v>50</v>
      </c>
      <c r="AB185" s="0" t="s">
        <v>50</v>
      </c>
      <c r="AC185" s="0" t="s">
        <v>53</v>
      </c>
      <c r="AD185" s="0" t="s">
        <v>54</v>
      </c>
      <c r="AE185" s="0" t="s">
        <v>50</v>
      </c>
      <c r="AF185" s="0" t="s">
        <v>1256</v>
      </c>
      <c r="AG185" s="0" t="s">
        <v>1257</v>
      </c>
      <c r="AH185" s="0" t="s">
        <v>50</v>
      </c>
      <c r="AI185" s="0" t="s">
        <v>50</v>
      </c>
      <c r="AJ185" s="0" t="s">
        <v>50</v>
      </c>
      <c r="AK185" s="0" t="s">
        <v>50</v>
      </c>
      <c r="AL185" s="0" t="s">
        <v>50</v>
      </c>
    </row>
    <row r="186" customFormat="false" ht="13.8" hidden="false" customHeight="false" outlineLevel="0" collapsed="false">
      <c r="B186" s="0" t="str">
        <f aca="false">HYPERLINK("https://genome.ucsc.edu/cgi-bin/hgTracks?db=hg19&amp;position=chr19%3A15627647%2D15627649", "chr19:15627647")</f>
        <v>chr19:15627647</v>
      </c>
      <c r="C186" s="0" t="s">
        <v>102</v>
      </c>
      <c r="D186" s="0" t="n">
        <v>15627647</v>
      </c>
      <c r="E186" s="0" t="n">
        <v>15627649</v>
      </c>
      <c r="F186" s="0" t="s">
        <v>1258</v>
      </c>
      <c r="G186" s="0" t="s">
        <v>308</v>
      </c>
      <c r="H186" s="0" t="s">
        <v>1259</v>
      </c>
      <c r="I186" s="0" t="s">
        <v>1099</v>
      </c>
      <c r="J186" s="0" t="s">
        <v>1260</v>
      </c>
      <c r="K186" s="0" t="s">
        <v>50</v>
      </c>
      <c r="L186" s="0" t="s">
        <v>50</v>
      </c>
      <c r="M186" s="0" t="str">
        <f aca="false">HYPERLINK("https://www.genecards.org/Search/Keyword?queryString=%5Baliases%5D(%20CYP4F22%20)&amp;keywords=CYP4F22", "CYP4F22")</f>
        <v>CYP4F22</v>
      </c>
      <c r="N186" s="0" t="s">
        <v>390</v>
      </c>
      <c r="O186" s="0" t="s">
        <v>50</v>
      </c>
      <c r="P186" s="0" t="s">
        <v>50</v>
      </c>
      <c r="Q186" s="0" t="n">
        <v>-1</v>
      </c>
      <c r="R186" s="0" t="n">
        <v>-1</v>
      </c>
      <c r="S186" s="0" t="n">
        <v>-1</v>
      </c>
      <c r="T186" s="0" t="n">
        <v>-1</v>
      </c>
      <c r="U186" s="0" t="n">
        <v>-1</v>
      </c>
      <c r="V186" s="0" t="s">
        <v>50</v>
      </c>
      <c r="W186" s="0" t="s">
        <v>50</v>
      </c>
      <c r="X186" s="0" t="s">
        <v>50</v>
      </c>
      <c r="Y186" s="0" t="s">
        <v>50</v>
      </c>
      <c r="Z186" s="0" t="s">
        <v>50</v>
      </c>
      <c r="AA186" s="0" t="s">
        <v>50</v>
      </c>
      <c r="AB186" s="0" t="s">
        <v>50</v>
      </c>
      <c r="AC186" s="0" t="s">
        <v>53</v>
      </c>
      <c r="AD186" s="0" t="s">
        <v>54</v>
      </c>
      <c r="AE186" s="0" t="s">
        <v>1261</v>
      </c>
      <c r="AF186" s="0" t="s">
        <v>1262</v>
      </c>
      <c r="AG186" s="0" t="s">
        <v>50</v>
      </c>
      <c r="AH186" s="0" t="s">
        <v>1263</v>
      </c>
      <c r="AI186" s="0" t="s">
        <v>50</v>
      </c>
      <c r="AJ186" s="0" t="s">
        <v>50</v>
      </c>
      <c r="AK186" s="0" t="s">
        <v>50</v>
      </c>
      <c r="AL186" s="0" t="s">
        <v>50</v>
      </c>
    </row>
    <row r="187" customFormat="false" ht="13.8" hidden="false" customHeight="false" outlineLevel="0" collapsed="false">
      <c r="B187" s="0" t="str">
        <f aca="false">HYPERLINK("https://genome.ucsc.edu/cgi-bin/hgTracks?db=hg19&amp;position=chr19%3A45643586%2D45643586", "chr19:45643586")</f>
        <v>chr19:45643586</v>
      </c>
      <c r="C187" s="0" t="s">
        <v>102</v>
      </c>
      <c r="D187" s="0" t="n">
        <v>45643586</v>
      </c>
      <c r="E187" s="0" t="n">
        <v>45643586</v>
      </c>
      <c r="F187" s="0" t="s">
        <v>39</v>
      </c>
      <c r="G187" s="0" t="s">
        <v>75</v>
      </c>
      <c r="H187" s="0" t="s">
        <v>1264</v>
      </c>
      <c r="I187" s="0" t="s">
        <v>681</v>
      </c>
      <c r="J187" s="0" t="s">
        <v>1265</v>
      </c>
      <c r="K187" s="0" t="s">
        <v>50</v>
      </c>
      <c r="L187" s="0" t="str">
        <f aca="false">HYPERLINK("https://www.ncbi.nlm.nih.gov/snp/rs532769617", "rs532769617")</f>
        <v>rs532769617</v>
      </c>
      <c r="M187" s="0" t="str">
        <f aca="false">HYPERLINK("https://www.genecards.org/Search/Keyword?queryString=%5Baliases%5D(%20PPP1R37%20)&amp;keywords=PPP1R37", "PPP1R37")</f>
        <v>PPP1R37</v>
      </c>
      <c r="N187" s="0" t="s">
        <v>80</v>
      </c>
      <c r="O187" s="0" t="s">
        <v>50</v>
      </c>
      <c r="P187" s="0" t="s">
        <v>50</v>
      </c>
      <c r="Q187" s="0" t="n">
        <v>0.001</v>
      </c>
      <c r="R187" s="0" t="n">
        <v>0.0011</v>
      </c>
      <c r="S187" s="0" t="n">
        <v>0.0012</v>
      </c>
      <c r="T187" s="0" t="n">
        <v>-1</v>
      </c>
      <c r="U187" s="0" t="n">
        <v>0.0012</v>
      </c>
      <c r="V187" s="0" t="s">
        <v>50</v>
      </c>
      <c r="W187" s="0" t="s">
        <v>50</v>
      </c>
      <c r="X187" s="0" t="s">
        <v>49</v>
      </c>
      <c r="Y187" s="0" t="s">
        <v>82</v>
      </c>
      <c r="Z187" s="0" t="s">
        <v>50</v>
      </c>
      <c r="AA187" s="0" t="s">
        <v>50</v>
      </c>
      <c r="AB187" s="0" t="s">
        <v>50</v>
      </c>
      <c r="AC187" s="0" t="s">
        <v>53</v>
      </c>
      <c r="AD187" s="0" t="s">
        <v>54</v>
      </c>
      <c r="AE187" s="0" t="s">
        <v>50</v>
      </c>
      <c r="AF187" s="0" t="s">
        <v>1266</v>
      </c>
      <c r="AG187" s="0" t="s">
        <v>1267</v>
      </c>
      <c r="AH187" s="0" t="s">
        <v>50</v>
      </c>
      <c r="AI187" s="0" t="s">
        <v>50</v>
      </c>
      <c r="AJ187" s="0" t="s">
        <v>50</v>
      </c>
      <c r="AK187" s="0" t="s">
        <v>50</v>
      </c>
      <c r="AL187" s="0" t="s">
        <v>50</v>
      </c>
    </row>
    <row r="188" customFormat="false" ht="13.8" hidden="false" customHeight="false" outlineLevel="0" collapsed="false">
      <c r="B188" s="0" t="str">
        <f aca="false">HYPERLINK("https://genome.ucsc.edu/cgi-bin/hgTracks?db=hg19&amp;position=chr19%3A46273463%2D46273477", "chr19:46273463")</f>
        <v>chr19:46273463</v>
      </c>
      <c r="C188" s="0" t="s">
        <v>102</v>
      </c>
      <c r="D188" s="0" t="n">
        <v>46273463</v>
      </c>
      <c r="E188" s="0" t="n">
        <v>46273477</v>
      </c>
      <c r="F188" s="0" t="s">
        <v>1268</v>
      </c>
      <c r="G188" s="0" t="s">
        <v>308</v>
      </c>
      <c r="H188" s="0" t="s">
        <v>1269</v>
      </c>
      <c r="I188" s="0" t="s">
        <v>801</v>
      </c>
      <c r="J188" s="0" t="s">
        <v>1270</v>
      </c>
      <c r="K188" s="0" t="s">
        <v>50</v>
      </c>
      <c r="L188" s="0" t="s">
        <v>50</v>
      </c>
      <c r="M188" s="0" t="str">
        <f aca="false">HYPERLINK("https://www.genecards.org/Search/Keyword?queryString=%5Baliases%5D(%20DM1-AS%20)%20OR%20%5Baliases%5D(%20DMPK%20)&amp;keywords=DM1-AS,DMPK", "DM1-AS;DMPK")</f>
        <v>DM1-AS;DMPK</v>
      </c>
      <c r="N188" s="0" t="s">
        <v>282</v>
      </c>
      <c r="O188" s="0" t="s">
        <v>50</v>
      </c>
      <c r="P188" s="0" t="s">
        <v>1271</v>
      </c>
      <c r="Q188" s="0" t="n">
        <v>0.0001153</v>
      </c>
      <c r="R188" s="0" t="n">
        <v>-1</v>
      </c>
      <c r="S188" s="0" t="n">
        <v>-1</v>
      </c>
      <c r="T188" s="0" t="n">
        <v>-1</v>
      </c>
      <c r="U188" s="0" t="n">
        <v>-1</v>
      </c>
      <c r="V188" s="0" t="s">
        <v>50</v>
      </c>
      <c r="W188" s="0" t="s">
        <v>50</v>
      </c>
      <c r="X188" s="0" t="s">
        <v>50</v>
      </c>
      <c r="Y188" s="0" t="s">
        <v>50</v>
      </c>
      <c r="Z188" s="0" t="s">
        <v>50</v>
      </c>
      <c r="AA188" s="0" t="s">
        <v>50</v>
      </c>
      <c r="AB188" s="0" t="s">
        <v>50</v>
      </c>
      <c r="AC188" s="0" t="s">
        <v>156</v>
      </c>
      <c r="AD188" s="0" t="s">
        <v>157</v>
      </c>
      <c r="AE188" s="0" t="s">
        <v>1272</v>
      </c>
      <c r="AF188" s="0" t="s">
        <v>1273</v>
      </c>
      <c r="AG188" s="0" t="s">
        <v>1274</v>
      </c>
      <c r="AH188" s="0" t="s">
        <v>1275</v>
      </c>
      <c r="AI188" s="0" t="s">
        <v>632</v>
      </c>
      <c r="AJ188" s="0" t="s">
        <v>50</v>
      </c>
      <c r="AK188" s="0" t="s">
        <v>50</v>
      </c>
      <c r="AL188" s="0" t="s">
        <v>50</v>
      </c>
    </row>
    <row r="189" customFormat="false" ht="13.8" hidden="false" customHeight="false" outlineLevel="0" collapsed="false">
      <c r="B189" s="0" t="str">
        <f aca="false">HYPERLINK("https://genome.ucsc.edu/cgi-bin/hgTracks?db=hg19&amp;position=chr19%3A49954290%2D49954290", "chr19:49954290")</f>
        <v>chr19:49954290</v>
      </c>
      <c r="C189" s="0" t="s">
        <v>102</v>
      </c>
      <c r="D189" s="0" t="n">
        <v>49954290</v>
      </c>
      <c r="E189" s="0" t="n">
        <v>49954290</v>
      </c>
      <c r="F189" s="0" t="s">
        <v>40</v>
      </c>
      <c r="G189" s="0" t="s">
        <v>39</v>
      </c>
      <c r="H189" s="0" t="s">
        <v>1276</v>
      </c>
      <c r="I189" s="0" t="s">
        <v>648</v>
      </c>
      <c r="J189" s="0" t="s">
        <v>649</v>
      </c>
      <c r="K189" s="0" t="s">
        <v>50</v>
      </c>
      <c r="L189" s="0" t="str">
        <f aca="false">HYPERLINK("https://www.ncbi.nlm.nih.gov/snp/rs989452088", "rs989452088")</f>
        <v>rs989452088</v>
      </c>
      <c r="M189" s="0" t="str">
        <f aca="false">HYPERLINK("https://www.genecards.org/Search/Keyword?queryString=%5Baliases%5D(%20PIH1D1%20)&amp;keywords=PIH1D1", "PIH1D1")</f>
        <v>PIH1D1</v>
      </c>
      <c r="N189" s="0" t="s">
        <v>80</v>
      </c>
      <c r="O189" s="0" t="s">
        <v>50</v>
      </c>
      <c r="P189" s="0" t="s">
        <v>50</v>
      </c>
      <c r="Q189" s="0" t="n">
        <v>0.0014</v>
      </c>
      <c r="R189" s="0" t="n">
        <v>0.0014</v>
      </c>
      <c r="S189" s="0" t="n">
        <v>-1</v>
      </c>
      <c r="T189" s="0" t="n">
        <v>-1</v>
      </c>
      <c r="U189" s="0" t="n">
        <v>-1</v>
      </c>
      <c r="V189" s="0" t="s">
        <v>50</v>
      </c>
      <c r="W189" s="0" t="s">
        <v>50</v>
      </c>
      <c r="X189" s="0" t="s">
        <v>49</v>
      </c>
      <c r="Y189" s="0" t="s">
        <v>82</v>
      </c>
      <c r="Z189" s="0" t="s">
        <v>50</v>
      </c>
      <c r="AA189" s="0" t="s">
        <v>50</v>
      </c>
      <c r="AB189" s="0" t="s">
        <v>50</v>
      </c>
      <c r="AC189" s="0" t="s">
        <v>53</v>
      </c>
      <c r="AD189" s="0" t="s">
        <v>54</v>
      </c>
      <c r="AE189" s="0" t="s">
        <v>1277</v>
      </c>
      <c r="AF189" s="0" t="s">
        <v>1278</v>
      </c>
      <c r="AG189" s="0" t="s">
        <v>1279</v>
      </c>
      <c r="AH189" s="0" t="s">
        <v>50</v>
      </c>
      <c r="AI189" s="0" t="s">
        <v>50</v>
      </c>
      <c r="AJ189" s="0" t="s">
        <v>50</v>
      </c>
      <c r="AK189" s="0" t="s">
        <v>50</v>
      </c>
      <c r="AL189" s="0" t="s">
        <v>50</v>
      </c>
    </row>
    <row r="190" customFormat="false" ht="13.8" hidden="false" customHeight="false" outlineLevel="0" collapsed="false">
      <c r="B190" s="0" t="str">
        <f aca="false">HYPERLINK("https://genome.ucsc.edu/cgi-bin/hgTracks?db=hg19&amp;position=chr19%3A54698081%2D54698082", "chr19:54698081")</f>
        <v>chr19:54698081</v>
      </c>
      <c r="C190" s="0" t="s">
        <v>102</v>
      </c>
      <c r="D190" s="0" t="n">
        <v>54698081</v>
      </c>
      <c r="E190" s="0" t="n">
        <v>54698082</v>
      </c>
      <c r="F190" s="0" t="s">
        <v>1280</v>
      </c>
      <c r="G190" s="0" t="s">
        <v>308</v>
      </c>
      <c r="H190" s="0" t="s">
        <v>941</v>
      </c>
      <c r="I190" s="0" t="s">
        <v>868</v>
      </c>
      <c r="J190" s="0" t="s">
        <v>1281</v>
      </c>
      <c r="K190" s="0" t="s">
        <v>50</v>
      </c>
      <c r="L190" s="0" t="str">
        <f aca="false">HYPERLINK("https://www.ncbi.nlm.nih.gov/snp/rs139312527", "rs139312527")</f>
        <v>rs139312527</v>
      </c>
      <c r="M190" s="0" t="str">
        <f aca="false">HYPERLINK("https://www.genecards.org/Search/Keyword?queryString=%5Baliases%5D(%20TSEN34%20)&amp;keywords=TSEN34", "TSEN34")</f>
        <v>TSEN34</v>
      </c>
      <c r="N190" s="0" t="s">
        <v>929</v>
      </c>
      <c r="O190" s="0" t="s">
        <v>50</v>
      </c>
      <c r="P190" s="0" t="s">
        <v>1282</v>
      </c>
      <c r="Q190" s="0" t="n">
        <v>0.013255</v>
      </c>
      <c r="R190" s="0" t="n">
        <v>0.0066</v>
      </c>
      <c r="S190" s="0" t="n">
        <v>0.0022</v>
      </c>
      <c r="T190" s="0" t="n">
        <v>-1</v>
      </c>
      <c r="U190" s="0" t="n">
        <v>0.0071</v>
      </c>
      <c r="V190" s="0" t="s">
        <v>50</v>
      </c>
      <c r="W190" s="0" t="s">
        <v>50</v>
      </c>
      <c r="X190" s="0" t="s">
        <v>50</v>
      </c>
      <c r="Y190" s="0" t="s">
        <v>50</v>
      </c>
      <c r="Z190" s="0" t="s">
        <v>50</v>
      </c>
      <c r="AA190" s="0" t="s">
        <v>50</v>
      </c>
      <c r="AB190" s="0" t="s">
        <v>50</v>
      </c>
      <c r="AC190" s="0" t="s">
        <v>53</v>
      </c>
      <c r="AD190" s="0" t="s">
        <v>54</v>
      </c>
      <c r="AE190" s="0" t="s">
        <v>1283</v>
      </c>
      <c r="AF190" s="0" t="s">
        <v>1284</v>
      </c>
      <c r="AG190" s="0" t="s">
        <v>1285</v>
      </c>
      <c r="AH190" s="0" t="s">
        <v>1286</v>
      </c>
      <c r="AI190" s="0" t="s">
        <v>50</v>
      </c>
      <c r="AJ190" s="0" t="s">
        <v>50</v>
      </c>
      <c r="AK190" s="0" t="s">
        <v>50</v>
      </c>
      <c r="AL190" s="0" t="s">
        <v>50</v>
      </c>
    </row>
    <row r="191" customFormat="false" ht="13.8" hidden="false" customHeight="false" outlineLevel="0" collapsed="false">
      <c r="B191" s="0" t="str">
        <f aca="false">HYPERLINK("https://genome.ucsc.edu/cgi-bin/hgTracks?db=hg19&amp;position=chr19%3A55251011%2D55251011", "chr19:55251011")</f>
        <v>chr19:55251011</v>
      </c>
      <c r="C191" s="0" t="s">
        <v>102</v>
      </c>
      <c r="D191" s="0" t="n">
        <v>55251011</v>
      </c>
      <c r="E191" s="0" t="n">
        <v>55251011</v>
      </c>
      <c r="F191" s="0" t="s">
        <v>74</v>
      </c>
      <c r="G191" s="0" t="s">
        <v>75</v>
      </c>
      <c r="H191" s="0" t="s">
        <v>1114</v>
      </c>
      <c r="I191" s="0" t="s">
        <v>1287</v>
      </c>
      <c r="J191" s="0" t="s">
        <v>1288</v>
      </c>
      <c r="K191" s="0" t="s">
        <v>50</v>
      </c>
      <c r="L191" s="0" t="str">
        <f aca="false">HYPERLINK("https://www.ncbi.nlm.nih.gov/snp/rs752059971", "rs752059971")</f>
        <v>rs752059971</v>
      </c>
      <c r="M191" s="0" t="str">
        <f aca="false">HYPERLINK("https://www.genecards.org/Search/Keyword?queryString=%5Baliases%5D(%20KIR2DL1%20)%20OR%20%5Baliases%5D(%20KIR2DL3%20)&amp;keywords=KIR2DL1,KIR2DL3", "KIR2DL1;KIR2DL3")</f>
        <v>KIR2DL1;KIR2DL3</v>
      </c>
      <c r="N191" s="0" t="s">
        <v>347</v>
      </c>
      <c r="O191" s="0" t="s">
        <v>50</v>
      </c>
      <c r="P191" s="0" t="s">
        <v>50</v>
      </c>
      <c r="Q191" s="0" t="n">
        <v>0.0025</v>
      </c>
      <c r="R191" s="0" t="n">
        <v>0.0025</v>
      </c>
      <c r="S191" s="0" t="n">
        <v>0.0036</v>
      </c>
      <c r="T191" s="0" t="n">
        <v>-1</v>
      </c>
      <c r="U191" s="0" t="n">
        <v>0.0048</v>
      </c>
      <c r="V191" s="0" t="s">
        <v>50</v>
      </c>
      <c r="W191" s="0" t="s">
        <v>50</v>
      </c>
      <c r="X191" s="0" t="s">
        <v>81</v>
      </c>
      <c r="Y191" s="0" t="s">
        <v>82</v>
      </c>
      <c r="Z191" s="0" t="s">
        <v>50</v>
      </c>
      <c r="AA191" s="0" t="s">
        <v>50</v>
      </c>
      <c r="AB191" s="0" t="s">
        <v>50</v>
      </c>
      <c r="AC191" s="0" t="s">
        <v>53</v>
      </c>
      <c r="AD191" s="0" t="s">
        <v>1289</v>
      </c>
      <c r="AE191" s="0" t="s">
        <v>1290</v>
      </c>
      <c r="AF191" s="0" t="s">
        <v>1291</v>
      </c>
      <c r="AG191" s="0" t="s">
        <v>1292</v>
      </c>
      <c r="AH191" s="0" t="s">
        <v>50</v>
      </c>
      <c r="AI191" s="0" t="s">
        <v>50</v>
      </c>
      <c r="AJ191" s="0" t="s">
        <v>50</v>
      </c>
      <c r="AK191" s="0" t="s">
        <v>50</v>
      </c>
      <c r="AL191" s="0" t="s">
        <v>277</v>
      </c>
    </row>
    <row r="192" customFormat="false" ht="13.8" hidden="false" customHeight="false" outlineLevel="0" collapsed="false">
      <c r="B192" s="0" t="str">
        <f aca="false">HYPERLINK("https://genome.ucsc.edu/cgi-bin/hgTracks?db=hg19&amp;position=chr19%3A55251066%2D55251066", "chr19:55251066")</f>
        <v>chr19:55251066</v>
      </c>
      <c r="C192" s="0" t="s">
        <v>102</v>
      </c>
      <c r="D192" s="0" t="n">
        <v>55251066</v>
      </c>
      <c r="E192" s="0" t="n">
        <v>55251066</v>
      </c>
      <c r="F192" s="0" t="s">
        <v>74</v>
      </c>
      <c r="G192" s="0" t="s">
        <v>75</v>
      </c>
      <c r="H192" s="0" t="s">
        <v>1293</v>
      </c>
      <c r="I192" s="0" t="s">
        <v>568</v>
      </c>
      <c r="J192" s="0" t="s">
        <v>1294</v>
      </c>
      <c r="K192" s="0" t="s">
        <v>50</v>
      </c>
      <c r="L192" s="0" t="str">
        <f aca="false">HYPERLINK("https://www.ncbi.nlm.nih.gov/snp/rs28579215", "rs28579215")</f>
        <v>rs28579215</v>
      </c>
      <c r="M192" s="0" t="str">
        <f aca="false">HYPERLINK("https://www.genecards.org/Search/Keyword?queryString=%5Baliases%5D(%20KIR2DL1%20)%20OR%20%5Baliases%5D(%20KIR2DL3%20)&amp;keywords=KIR2DL1,KIR2DL3", "KIR2DL1;KIR2DL3")</f>
        <v>KIR2DL1;KIR2DL3</v>
      </c>
      <c r="N192" s="0" t="s">
        <v>347</v>
      </c>
      <c r="O192" s="0" t="s">
        <v>50</v>
      </c>
      <c r="P192" s="0" t="s">
        <v>50</v>
      </c>
      <c r="Q192" s="0" t="n">
        <v>0.0159</v>
      </c>
      <c r="R192" s="0" t="n">
        <v>0.0108</v>
      </c>
      <c r="S192" s="0" t="n">
        <v>0.0138</v>
      </c>
      <c r="T192" s="0" t="n">
        <v>-1</v>
      </c>
      <c r="U192" s="0" t="n">
        <v>0.0145</v>
      </c>
      <c r="V192" s="0" t="s">
        <v>50</v>
      </c>
      <c r="W192" s="0" t="s">
        <v>50</v>
      </c>
      <c r="X192" s="0" t="s">
        <v>49</v>
      </c>
      <c r="Y192" s="0" t="s">
        <v>82</v>
      </c>
      <c r="Z192" s="0" t="s">
        <v>50</v>
      </c>
      <c r="AA192" s="0" t="s">
        <v>50</v>
      </c>
      <c r="AB192" s="0" t="s">
        <v>50</v>
      </c>
      <c r="AC192" s="0" t="s">
        <v>53</v>
      </c>
      <c r="AD192" s="0" t="s">
        <v>1289</v>
      </c>
      <c r="AE192" s="0" t="s">
        <v>1290</v>
      </c>
      <c r="AF192" s="0" t="s">
        <v>1291</v>
      </c>
      <c r="AG192" s="0" t="s">
        <v>1292</v>
      </c>
      <c r="AH192" s="0" t="s">
        <v>50</v>
      </c>
      <c r="AI192" s="0" t="s">
        <v>632</v>
      </c>
      <c r="AJ192" s="0" t="s">
        <v>50</v>
      </c>
      <c r="AK192" s="0" t="s">
        <v>50</v>
      </c>
      <c r="AL192" s="0" t="s">
        <v>50</v>
      </c>
    </row>
    <row r="193" customFormat="false" ht="13.8" hidden="false" customHeight="false" outlineLevel="0" collapsed="false">
      <c r="B193" s="0" t="str">
        <f aca="false">HYPERLINK("https://genome.ucsc.edu/cgi-bin/hgTracks?db=hg19&amp;position=chr19%3A55284580%2D55284580", "chr19:55284580")</f>
        <v>chr19:55284580</v>
      </c>
      <c r="C193" s="0" t="s">
        <v>102</v>
      </c>
      <c r="D193" s="0" t="n">
        <v>55284580</v>
      </c>
      <c r="E193" s="0" t="n">
        <v>55284580</v>
      </c>
      <c r="F193" s="0" t="s">
        <v>39</v>
      </c>
      <c r="G193" s="0" t="s">
        <v>40</v>
      </c>
      <c r="H193" s="0" t="s">
        <v>1295</v>
      </c>
      <c r="I193" s="0" t="s">
        <v>703</v>
      </c>
      <c r="J193" s="0" t="s">
        <v>1296</v>
      </c>
      <c r="K193" s="0" t="s">
        <v>50</v>
      </c>
      <c r="L193" s="0" t="str">
        <f aca="false">HYPERLINK("https://www.ncbi.nlm.nih.gov/snp/rs111818275", "rs111818275")</f>
        <v>rs111818275</v>
      </c>
      <c r="M193" s="0" t="str">
        <f aca="false">HYPERLINK("https://www.genecards.org/Search/Keyword?queryString=%5Baliases%5D(%20KIR2DL1%20)%20OR%20%5Baliases%5D(%20KIR2DL3%20)%20OR%20%5Baliases%5D(%20KIR2DS4%20)%20OR%20%5Baliases%5D(%20LOC112267881%20)&amp;keywords=KIR2DL1,KIR2DL3,KIR2DS4,LOC112267881", "KIR2DL1;KIR2DL3;KIR2DS4;LOC112267881")</f>
        <v>KIR2DL1;KIR2DL3;KIR2DS4;LOC112267881</v>
      </c>
      <c r="N193" s="0" t="s">
        <v>347</v>
      </c>
      <c r="O193" s="0" t="s">
        <v>50</v>
      </c>
      <c r="P193" s="0" t="s">
        <v>50</v>
      </c>
      <c r="Q193" s="0" t="n">
        <v>0.0043799</v>
      </c>
      <c r="R193" s="0" t="n">
        <v>-1</v>
      </c>
      <c r="S193" s="0" t="n">
        <v>-1</v>
      </c>
      <c r="T193" s="0" t="n">
        <v>-1</v>
      </c>
      <c r="U193" s="0" t="n">
        <v>-1</v>
      </c>
      <c r="V193" s="0" t="s">
        <v>50</v>
      </c>
      <c r="W193" s="0" t="s">
        <v>50</v>
      </c>
      <c r="X193" s="0" t="s">
        <v>81</v>
      </c>
      <c r="Y193" s="0" t="s">
        <v>82</v>
      </c>
      <c r="Z193" s="0" t="s">
        <v>50</v>
      </c>
      <c r="AA193" s="0" t="s">
        <v>50</v>
      </c>
      <c r="AB193" s="0" t="s">
        <v>50</v>
      </c>
      <c r="AC193" s="0" t="s">
        <v>53</v>
      </c>
      <c r="AD193" s="0" t="s">
        <v>1297</v>
      </c>
      <c r="AE193" s="0" t="s">
        <v>1290</v>
      </c>
      <c r="AF193" s="0" t="s">
        <v>1298</v>
      </c>
      <c r="AG193" s="0" t="s">
        <v>1299</v>
      </c>
      <c r="AH193" s="0" t="s">
        <v>50</v>
      </c>
      <c r="AI193" s="0" t="s">
        <v>632</v>
      </c>
      <c r="AJ193" s="0" t="s">
        <v>50</v>
      </c>
      <c r="AK193" s="0" t="s">
        <v>50</v>
      </c>
      <c r="AL193" s="0" t="s">
        <v>50</v>
      </c>
    </row>
    <row r="194" customFormat="false" ht="13.8" hidden="false" customHeight="false" outlineLevel="0" collapsed="false">
      <c r="B194" s="0" t="str">
        <f aca="false">HYPERLINK("https://genome.ucsc.edu/cgi-bin/hgTracks?db=hg19&amp;position=chr19%3A55286773%2D55286774", "chr19:55286773")</f>
        <v>chr19:55286773</v>
      </c>
      <c r="C194" s="0" t="s">
        <v>102</v>
      </c>
      <c r="D194" s="0" t="n">
        <v>55286773</v>
      </c>
      <c r="E194" s="0" t="n">
        <v>55286774</v>
      </c>
      <c r="F194" s="0" t="s">
        <v>619</v>
      </c>
      <c r="G194" s="0" t="s">
        <v>308</v>
      </c>
      <c r="H194" s="0" t="s">
        <v>1300</v>
      </c>
      <c r="I194" s="0" t="s">
        <v>1301</v>
      </c>
      <c r="J194" s="0" t="s">
        <v>1302</v>
      </c>
      <c r="K194" s="0" t="s">
        <v>50</v>
      </c>
      <c r="L194" s="0" t="str">
        <f aca="false">HYPERLINK("https://www.ncbi.nlm.nih.gov/snp/rs767604061", "rs767604061")</f>
        <v>rs767604061</v>
      </c>
      <c r="M194" s="0" t="str">
        <f aca="false">HYPERLINK("https://www.genecards.org/Search/Keyword?queryString=%5Baliases%5D(%20KIR2DL1%20)%20OR%20%5Baliases%5D(%20KIR2DL3%20)%20OR%20%5Baliases%5D(%20LOC112267881%20)&amp;keywords=KIR2DL1,KIR2DL3,LOC112267881", "KIR2DL1;KIR2DL3;LOC112267881")</f>
        <v>KIR2DL1;KIR2DL3;LOC112267881</v>
      </c>
      <c r="N194" s="0" t="s">
        <v>92</v>
      </c>
      <c r="O194" s="0" t="s">
        <v>312</v>
      </c>
      <c r="P194" s="0" t="s">
        <v>1303</v>
      </c>
      <c r="Q194" s="0" t="n">
        <v>0.0107</v>
      </c>
      <c r="R194" s="0" t="n">
        <v>0.0021</v>
      </c>
      <c r="S194" s="0" t="n">
        <v>0.002</v>
      </c>
      <c r="T194" s="0" t="n">
        <v>-1</v>
      </c>
      <c r="U194" s="0" t="n">
        <v>0.0046</v>
      </c>
      <c r="V194" s="0" t="s">
        <v>50</v>
      </c>
      <c r="W194" s="0" t="s">
        <v>50</v>
      </c>
      <c r="X194" s="0" t="s">
        <v>50</v>
      </c>
      <c r="Y194" s="0" t="s">
        <v>50</v>
      </c>
      <c r="Z194" s="0" t="s">
        <v>50</v>
      </c>
      <c r="AA194" s="0" t="s">
        <v>50</v>
      </c>
      <c r="AB194" s="0" t="s">
        <v>50</v>
      </c>
      <c r="AC194" s="0" t="s">
        <v>53</v>
      </c>
      <c r="AD194" s="0" t="s">
        <v>1304</v>
      </c>
      <c r="AE194" s="0" t="s">
        <v>1290</v>
      </c>
      <c r="AF194" s="0" t="s">
        <v>1291</v>
      </c>
      <c r="AG194" s="0" t="s">
        <v>1292</v>
      </c>
      <c r="AH194" s="0" t="s">
        <v>50</v>
      </c>
      <c r="AI194" s="0" t="s">
        <v>50</v>
      </c>
      <c r="AJ194" s="0" t="s">
        <v>50</v>
      </c>
      <c r="AK194" s="0" t="s">
        <v>50</v>
      </c>
      <c r="AL194" s="0" t="s">
        <v>277</v>
      </c>
    </row>
    <row r="195" customFormat="false" ht="13.8" hidden="false" customHeight="false" outlineLevel="0" collapsed="false">
      <c r="B195" s="0" t="str">
        <f aca="false">HYPERLINK("https://genome.ucsc.edu/cgi-bin/hgTracks?db=hg19&amp;position=chr19%3A55286775%2D55286775", "chr19:55286775")</f>
        <v>chr19:55286775</v>
      </c>
      <c r="C195" s="0" t="s">
        <v>102</v>
      </c>
      <c r="D195" s="0" t="n">
        <v>55286775</v>
      </c>
      <c r="E195" s="0" t="n">
        <v>55286775</v>
      </c>
      <c r="F195" s="0" t="s">
        <v>308</v>
      </c>
      <c r="G195" s="0" t="s">
        <v>1305</v>
      </c>
      <c r="H195" s="0" t="s">
        <v>1306</v>
      </c>
      <c r="I195" s="0" t="s">
        <v>1307</v>
      </c>
      <c r="J195" s="0" t="s">
        <v>1308</v>
      </c>
      <c r="K195" s="0" t="s">
        <v>50</v>
      </c>
      <c r="L195" s="0" t="str">
        <f aca="false">HYPERLINK("https://www.ncbi.nlm.nih.gov/snp/rs750502059", "rs750502059")</f>
        <v>rs750502059</v>
      </c>
      <c r="M195" s="0" t="str">
        <f aca="false">HYPERLINK("https://www.genecards.org/Search/Keyword?queryString=%5Baliases%5D(%20KIR2DL1%20)%20OR%20%5Baliases%5D(%20KIR2DL3%20)%20OR%20%5Baliases%5D(%20LOC112267881%20)&amp;keywords=KIR2DL1,KIR2DL3,LOC112267881", "KIR2DL1;KIR2DL3;LOC112267881")</f>
        <v>KIR2DL1;KIR2DL3;LOC112267881</v>
      </c>
      <c r="N195" s="0" t="s">
        <v>92</v>
      </c>
      <c r="O195" s="0" t="s">
        <v>323</v>
      </c>
      <c r="P195" s="0" t="s">
        <v>1309</v>
      </c>
      <c r="Q195" s="0" t="n">
        <v>0.0106</v>
      </c>
      <c r="R195" s="0" t="n">
        <v>0.0029</v>
      </c>
      <c r="S195" s="0" t="n">
        <v>0.0041</v>
      </c>
      <c r="T195" s="0" t="n">
        <v>-1</v>
      </c>
      <c r="U195" s="0" t="n">
        <v>0.0047</v>
      </c>
      <c r="V195" s="0" t="s">
        <v>50</v>
      </c>
      <c r="W195" s="0" t="s">
        <v>50</v>
      </c>
      <c r="X195" s="0" t="s">
        <v>50</v>
      </c>
      <c r="Y195" s="0" t="s">
        <v>50</v>
      </c>
      <c r="Z195" s="0" t="s">
        <v>50</v>
      </c>
      <c r="AA195" s="0" t="s">
        <v>50</v>
      </c>
      <c r="AB195" s="0" t="s">
        <v>50</v>
      </c>
      <c r="AC195" s="0" t="s">
        <v>53</v>
      </c>
      <c r="AD195" s="0" t="s">
        <v>1304</v>
      </c>
      <c r="AE195" s="0" t="s">
        <v>1290</v>
      </c>
      <c r="AF195" s="0" t="s">
        <v>1291</v>
      </c>
      <c r="AG195" s="0" t="s">
        <v>1292</v>
      </c>
      <c r="AH195" s="0" t="s">
        <v>50</v>
      </c>
      <c r="AI195" s="0" t="s">
        <v>50</v>
      </c>
      <c r="AJ195" s="0" t="s">
        <v>50</v>
      </c>
      <c r="AK195" s="0" t="s">
        <v>50</v>
      </c>
      <c r="AL195" s="0" t="s">
        <v>277</v>
      </c>
    </row>
    <row r="196" customFormat="false" ht="13.8" hidden="false" customHeight="false" outlineLevel="0" collapsed="false">
      <c r="B196" s="0" t="str">
        <f aca="false">HYPERLINK("https://genome.ucsc.edu/cgi-bin/hgTracks?db=hg19&amp;position=chr19%3A55317205%2D55317205", "chr19:55317205")</f>
        <v>chr19:55317205</v>
      </c>
      <c r="C196" s="0" t="s">
        <v>102</v>
      </c>
      <c r="D196" s="0" t="n">
        <v>55317205</v>
      </c>
      <c r="E196" s="0" t="n">
        <v>55317205</v>
      </c>
      <c r="F196" s="0" t="s">
        <v>75</v>
      </c>
      <c r="G196" s="0" t="s">
        <v>74</v>
      </c>
      <c r="H196" s="0" t="s">
        <v>1310</v>
      </c>
      <c r="I196" s="0" t="s">
        <v>703</v>
      </c>
      <c r="J196" s="0" t="s">
        <v>1311</v>
      </c>
      <c r="K196" s="0" t="s">
        <v>50</v>
      </c>
      <c r="L196" s="0" t="str">
        <f aca="false">HYPERLINK("https://www.ncbi.nlm.nih.gov/snp/rs796424049", "rs796424049")</f>
        <v>rs796424049</v>
      </c>
      <c r="M196" s="0" t="str">
        <f aca="false">HYPERLINK("https://www.genecards.org/Search/Keyword?queryString=%5Baliases%5D(%20KIR2DL4%20)%20OR%20%5Baliases%5D(%20KIR2DS4%20)%20OR%20%5Baliases%5D(%20KIR3DL1%20)%20OR%20%5Baliases%5D(%20LOC100287534%20)%20OR%20%5Baliases%5D(%20LOC112268354%20)&amp;keywords=KIR2DL4,KIR2DS4,KIR3DL1,LOC100287534,LOC112268354", "KIR2DL4;KIR2DS4;KIR3DL1;LOC100287534;LOC112268354")</f>
        <v>KIR2DL4;KIR2DS4;KIR3DL1;LOC100287534;LOC112268354</v>
      </c>
      <c r="N196" s="0" t="s">
        <v>80</v>
      </c>
      <c r="O196" s="0" t="s">
        <v>50</v>
      </c>
      <c r="P196" s="0" t="s">
        <v>50</v>
      </c>
      <c r="Q196" s="0" t="n">
        <v>0.0101429</v>
      </c>
      <c r="R196" s="0" t="n">
        <v>-1</v>
      </c>
      <c r="S196" s="0" t="n">
        <v>-1</v>
      </c>
      <c r="T196" s="0" t="n">
        <v>-1</v>
      </c>
      <c r="U196" s="0" t="n">
        <v>-1</v>
      </c>
      <c r="V196" s="0" t="s">
        <v>50</v>
      </c>
      <c r="W196" s="0" t="s">
        <v>50</v>
      </c>
      <c r="X196" s="0" t="s">
        <v>81</v>
      </c>
      <c r="Y196" s="0" t="s">
        <v>82</v>
      </c>
      <c r="Z196" s="0" t="s">
        <v>50</v>
      </c>
      <c r="AA196" s="0" t="s">
        <v>50</v>
      </c>
      <c r="AB196" s="0" t="s">
        <v>50</v>
      </c>
      <c r="AC196" s="0" t="s">
        <v>53</v>
      </c>
      <c r="AD196" s="0" t="s">
        <v>1312</v>
      </c>
      <c r="AE196" s="0" t="s">
        <v>1313</v>
      </c>
      <c r="AF196" s="0" t="s">
        <v>1314</v>
      </c>
      <c r="AG196" s="0" t="s">
        <v>1315</v>
      </c>
      <c r="AH196" s="0" t="s">
        <v>50</v>
      </c>
      <c r="AI196" s="0" t="s">
        <v>632</v>
      </c>
      <c r="AJ196" s="0" t="s">
        <v>50</v>
      </c>
      <c r="AK196" s="0" t="s">
        <v>50</v>
      </c>
      <c r="AL196" s="0" t="s">
        <v>50</v>
      </c>
    </row>
    <row r="197" customFormat="false" ht="13.8" hidden="false" customHeight="false" outlineLevel="0" collapsed="false">
      <c r="B197" s="0" t="str">
        <f aca="false">HYPERLINK("https://genome.ucsc.edu/cgi-bin/hgTracks?db=hg19&amp;position=chr19%3A55317313%2D55317313", "chr19:55317313")</f>
        <v>chr19:55317313</v>
      </c>
      <c r="C197" s="0" t="s">
        <v>102</v>
      </c>
      <c r="D197" s="0" t="n">
        <v>55317313</v>
      </c>
      <c r="E197" s="0" t="n">
        <v>55317313</v>
      </c>
      <c r="F197" s="0" t="s">
        <v>39</v>
      </c>
      <c r="G197" s="0" t="s">
        <v>40</v>
      </c>
      <c r="H197" s="0" t="s">
        <v>595</v>
      </c>
      <c r="I197" s="0" t="s">
        <v>1316</v>
      </c>
      <c r="J197" s="0" t="s">
        <v>1317</v>
      </c>
      <c r="K197" s="0" t="s">
        <v>50</v>
      </c>
      <c r="L197" s="0" t="s">
        <v>50</v>
      </c>
      <c r="M197" s="0" t="str">
        <f aca="false">HYPERLINK("https://www.genecards.org/Search/Keyword?queryString=%5Baliases%5D(%20KIR2DL4%20)%20OR%20%5Baliases%5D(%20KIR2DS4%20)%20OR%20%5Baliases%5D(%20KIR3DL1%20)%20OR%20%5Baliases%5D(%20LOC100287534%20)%20OR%20%5Baliases%5D(%20LOC112268354%20)&amp;keywords=KIR2DL4,KIR2DS4,KIR3DL1,LOC100287534,LOC112268354", "KIR2DL4;KIR2DS4;KIR3DL1;LOC100287534;LOC112268354")</f>
        <v>KIR2DL4;KIR2DS4;KIR3DL1;LOC100287534;LOC112268354</v>
      </c>
      <c r="N197" s="0" t="s">
        <v>80</v>
      </c>
      <c r="O197" s="0" t="s">
        <v>50</v>
      </c>
      <c r="P197" s="0" t="s">
        <v>50</v>
      </c>
      <c r="Q197" s="0" t="n">
        <v>0.0004995</v>
      </c>
      <c r="R197" s="0" t="n">
        <v>-1</v>
      </c>
      <c r="S197" s="0" t="n">
        <v>-1</v>
      </c>
      <c r="T197" s="0" t="n">
        <v>-1</v>
      </c>
      <c r="U197" s="0" t="n">
        <v>-1</v>
      </c>
      <c r="V197" s="0" t="s">
        <v>50</v>
      </c>
      <c r="W197" s="0" t="s">
        <v>50</v>
      </c>
      <c r="X197" s="0" t="s">
        <v>49</v>
      </c>
      <c r="Y197" s="0" t="s">
        <v>82</v>
      </c>
      <c r="Z197" s="0" t="s">
        <v>50</v>
      </c>
      <c r="AA197" s="0" t="s">
        <v>50</v>
      </c>
      <c r="AB197" s="0" t="s">
        <v>50</v>
      </c>
      <c r="AC197" s="0" t="s">
        <v>53</v>
      </c>
      <c r="AD197" s="0" t="s">
        <v>1312</v>
      </c>
      <c r="AE197" s="0" t="s">
        <v>1313</v>
      </c>
      <c r="AF197" s="0" t="s">
        <v>1314</v>
      </c>
      <c r="AG197" s="0" t="s">
        <v>1315</v>
      </c>
      <c r="AH197" s="0" t="s">
        <v>50</v>
      </c>
      <c r="AI197" s="0" t="s">
        <v>50</v>
      </c>
      <c r="AJ197" s="0" t="s">
        <v>50</v>
      </c>
      <c r="AK197" s="0" t="s">
        <v>50</v>
      </c>
      <c r="AL197" s="0" t="s">
        <v>50</v>
      </c>
    </row>
    <row r="198" customFormat="false" ht="13.8" hidden="false" customHeight="false" outlineLevel="0" collapsed="false">
      <c r="B198" s="0" t="str">
        <f aca="false">HYPERLINK("https://genome.ucsc.edu/cgi-bin/hgTracks?db=hg19&amp;position=chr19%3A55320306%2D55320307", "chr19:55320306")</f>
        <v>chr19:55320306</v>
      </c>
      <c r="C198" s="0" t="s">
        <v>102</v>
      </c>
      <c r="D198" s="0" t="n">
        <v>55320306</v>
      </c>
      <c r="E198" s="0" t="n">
        <v>55320307</v>
      </c>
      <c r="F198" s="0" t="s">
        <v>1318</v>
      </c>
      <c r="G198" s="0" t="s">
        <v>308</v>
      </c>
      <c r="H198" s="0" t="s">
        <v>1319</v>
      </c>
      <c r="I198" s="0" t="s">
        <v>1320</v>
      </c>
      <c r="J198" s="0" t="s">
        <v>1321</v>
      </c>
      <c r="K198" s="0" t="s">
        <v>50</v>
      </c>
      <c r="L198" s="0" t="s">
        <v>50</v>
      </c>
      <c r="M198" s="0" t="str">
        <f aca="false">HYPERLINK("https://www.genecards.org/Search/Keyword?queryString=%5Baliases%5D(%20KIR2DL4%20)%20OR%20%5Baliases%5D(%20LOC100287534%20)%20OR%20%5Baliases%5D(%20LOC112268354%20)&amp;keywords=KIR2DL4,LOC100287534,LOC112268354", "KIR2DL4;LOC100287534;LOC112268354")</f>
        <v>KIR2DL4;LOC100287534;LOC112268354</v>
      </c>
      <c r="N198" s="0" t="s">
        <v>92</v>
      </c>
      <c r="O198" s="0" t="s">
        <v>312</v>
      </c>
      <c r="P198" s="0" t="s">
        <v>1322</v>
      </c>
      <c r="Q198" s="0" t="n">
        <v>-1</v>
      </c>
      <c r="R198" s="0" t="n">
        <v>-1</v>
      </c>
      <c r="S198" s="0" t="n">
        <v>-1</v>
      </c>
      <c r="T198" s="0" t="n">
        <v>-1</v>
      </c>
      <c r="U198" s="0" t="n">
        <v>-1</v>
      </c>
      <c r="V198" s="0" t="s">
        <v>50</v>
      </c>
      <c r="W198" s="0" t="s">
        <v>50</v>
      </c>
      <c r="X198" s="0" t="s">
        <v>50</v>
      </c>
      <c r="Y198" s="0" t="s">
        <v>50</v>
      </c>
      <c r="Z198" s="0" t="s">
        <v>50</v>
      </c>
      <c r="AA198" s="0" t="s">
        <v>50</v>
      </c>
      <c r="AB198" s="0" t="s">
        <v>50</v>
      </c>
      <c r="AC198" s="0" t="s">
        <v>53</v>
      </c>
      <c r="AD198" s="0" t="s">
        <v>1323</v>
      </c>
      <c r="AE198" s="0" t="s">
        <v>1324</v>
      </c>
      <c r="AF198" s="0" t="s">
        <v>1325</v>
      </c>
      <c r="AG198" s="0" t="s">
        <v>1326</v>
      </c>
      <c r="AH198" s="0" t="s">
        <v>50</v>
      </c>
      <c r="AI198" s="0" t="s">
        <v>50</v>
      </c>
      <c r="AJ198" s="0" t="s">
        <v>50</v>
      </c>
      <c r="AK198" s="0" t="s">
        <v>50</v>
      </c>
      <c r="AL198" s="0" t="s">
        <v>277</v>
      </c>
    </row>
    <row r="199" customFormat="false" ht="13.8" hidden="false" customHeight="false" outlineLevel="0" collapsed="false">
      <c r="B199" s="0" t="str">
        <f aca="false">HYPERLINK("https://genome.ucsc.edu/cgi-bin/hgTracks?db=hg19&amp;position=chr19%3A55320308%2D55320308", "chr19:55320308")</f>
        <v>chr19:55320308</v>
      </c>
      <c r="C199" s="0" t="s">
        <v>102</v>
      </c>
      <c r="D199" s="0" t="n">
        <v>55320308</v>
      </c>
      <c r="E199" s="0" t="n">
        <v>55320308</v>
      </c>
      <c r="F199" s="0" t="s">
        <v>308</v>
      </c>
      <c r="G199" s="0" t="s">
        <v>1327</v>
      </c>
      <c r="H199" s="0" t="s">
        <v>1328</v>
      </c>
      <c r="I199" s="0" t="s">
        <v>1329</v>
      </c>
      <c r="J199" s="0" t="s">
        <v>1330</v>
      </c>
      <c r="K199" s="0" t="s">
        <v>50</v>
      </c>
      <c r="L199" s="0" t="s">
        <v>50</v>
      </c>
      <c r="M199" s="0" t="str">
        <f aca="false">HYPERLINK("https://www.genecards.org/Search/Keyword?queryString=%5Baliases%5D(%20KIR2DL4%20)%20OR%20%5Baliases%5D(%20LOC100287534%20)%20OR%20%5Baliases%5D(%20LOC112268354%20)&amp;keywords=KIR2DL4,LOC100287534,LOC112268354", "KIR2DL4;LOC100287534;LOC112268354")</f>
        <v>KIR2DL4;LOC100287534;LOC112268354</v>
      </c>
      <c r="N199" s="0" t="s">
        <v>92</v>
      </c>
      <c r="O199" s="0" t="s">
        <v>323</v>
      </c>
      <c r="P199" s="0" t="s">
        <v>1331</v>
      </c>
      <c r="Q199" s="0" t="n">
        <v>-1</v>
      </c>
      <c r="R199" s="0" t="n">
        <v>-1</v>
      </c>
      <c r="S199" s="0" t="n">
        <v>-1</v>
      </c>
      <c r="T199" s="0" t="n">
        <v>-1</v>
      </c>
      <c r="U199" s="0" t="n">
        <v>-1</v>
      </c>
      <c r="V199" s="0" t="s">
        <v>50</v>
      </c>
      <c r="W199" s="0" t="s">
        <v>50</v>
      </c>
      <c r="X199" s="0" t="s">
        <v>50</v>
      </c>
      <c r="Y199" s="0" t="s">
        <v>50</v>
      </c>
      <c r="Z199" s="0" t="s">
        <v>50</v>
      </c>
      <c r="AA199" s="0" t="s">
        <v>50</v>
      </c>
      <c r="AB199" s="0" t="s">
        <v>50</v>
      </c>
      <c r="AC199" s="0" t="s">
        <v>53</v>
      </c>
      <c r="AD199" s="0" t="s">
        <v>1323</v>
      </c>
      <c r="AE199" s="0" t="s">
        <v>1324</v>
      </c>
      <c r="AF199" s="0" t="s">
        <v>1325</v>
      </c>
      <c r="AG199" s="0" t="s">
        <v>1326</v>
      </c>
      <c r="AH199" s="0" t="s">
        <v>50</v>
      </c>
      <c r="AI199" s="0" t="s">
        <v>50</v>
      </c>
      <c r="AJ199" s="0" t="s">
        <v>50</v>
      </c>
      <c r="AK199" s="0" t="s">
        <v>50</v>
      </c>
      <c r="AL199" s="0" t="s">
        <v>277</v>
      </c>
    </row>
    <row r="200" customFormat="false" ht="13.8" hidden="false" customHeight="false" outlineLevel="0" collapsed="false">
      <c r="B200" s="0" t="str">
        <f aca="false">HYPERLINK("https://genome.ucsc.edu/cgi-bin/hgTracks?db=hg19&amp;position=chr19%3A55320488%2D55320488", "chr19:55320488")</f>
        <v>chr19:55320488</v>
      </c>
      <c r="C200" s="0" t="s">
        <v>102</v>
      </c>
      <c r="D200" s="0" t="n">
        <v>55320488</v>
      </c>
      <c r="E200" s="0" t="n">
        <v>55320488</v>
      </c>
      <c r="F200" s="0" t="s">
        <v>74</v>
      </c>
      <c r="G200" s="0" t="s">
        <v>40</v>
      </c>
      <c r="H200" s="0" t="s">
        <v>1332</v>
      </c>
      <c r="I200" s="0" t="s">
        <v>1333</v>
      </c>
      <c r="J200" s="0" t="s">
        <v>1334</v>
      </c>
      <c r="K200" s="0" t="s">
        <v>50</v>
      </c>
      <c r="L200" s="0" t="s">
        <v>50</v>
      </c>
      <c r="M200" s="0" t="str">
        <f aca="false">HYPERLINK("https://www.genecards.org/Search/Keyword?queryString=%5Baliases%5D(%20KIR2DL4%20)%20OR%20%5Baliases%5D(%20KIR2DS4%20)%20OR%20%5Baliases%5D(%20KIR3DL1%20)%20OR%20%5Baliases%5D(%20LOC100287534%20)%20OR%20%5Baliases%5D(%20LOC112268354%20)&amp;keywords=KIR2DL4,KIR2DS4,KIR3DL1,LOC100287534,LOC112268354", "KIR2DL4;KIR2DS4;KIR3DL1;LOC100287534;LOC112268354")</f>
        <v>KIR2DL4;KIR2DS4;KIR3DL1;LOC100287534;LOC112268354</v>
      </c>
      <c r="N200" s="0" t="s">
        <v>80</v>
      </c>
      <c r="O200" s="0" t="s">
        <v>50</v>
      </c>
      <c r="P200" s="0" t="s">
        <v>50</v>
      </c>
      <c r="Q200" s="0" t="n">
        <v>-1</v>
      </c>
      <c r="R200" s="0" t="n">
        <v>-1</v>
      </c>
      <c r="S200" s="0" t="n">
        <v>-1</v>
      </c>
      <c r="T200" s="0" t="n">
        <v>-1</v>
      </c>
      <c r="U200" s="0" t="n">
        <v>-1</v>
      </c>
      <c r="V200" s="0" t="s">
        <v>50</v>
      </c>
      <c r="W200" s="0" t="s">
        <v>50</v>
      </c>
      <c r="X200" s="0" t="s">
        <v>49</v>
      </c>
      <c r="Y200" s="0" t="s">
        <v>82</v>
      </c>
      <c r="Z200" s="0" t="s">
        <v>50</v>
      </c>
      <c r="AA200" s="0" t="s">
        <v>50</v>
      </c>
      <c r="AB200" s="0" t="s">
        <v>50</v>
      </c>
      <c r="AC200" s="0" t="s">
        <v>53</v>
      </c>
      <c r="AD200" s="0" t="s">
        <v>1312</v>
      </c>
      <c r="AE200" s="0" t="s">
        <v>1313</v>
      </c>
      <c r="AF200" s="0" t="s">
        <v>1314</v>
      </c>
      <c r="AG200" s="0" t="s">
        <v>1315</v>
      </c>
      <c r="AH200" s="0" t="s">
        <v>50</v>
      </c>
      <c r="AI200" s="0" t="s">
        <v>50</v>
      </c>
      <c r="AJ200" s="0" t="s">
        <v>50</v>
      </c>
      <c r="AK200" s="0" t="s">
        <v>50</v>
      </c>
      <c r="AL200" s="0" t="s">
        <v>50</v>
      </c>
    </row>
    <row r="201" customFormat="false" ht="13.8" hidden="false" customHeight="false" outlineLevel="0" collapsed="false">
      <c r="B201" s="0" t="str">
        <f aca="false">HYPERLINK("https://genome.ucsc.edu/cgi-bin/hgTracks?db=hg19&amp;position=chr19%3A55320541%2D55320541", "chr19:55320541")</f>
        <v>chr19:55320541</v>
      </c>
      <c r="C201" s="0" t="s">
        <v>102</v>
      </c>
      <c r="D201" s="0" t="n">
        <v>55320541</v>
      </c>
      <c r="E201" s="0" t="n">
        <v>55320541</v>
      </c>
      <c r="F201" s="0" t="s">
        <v>40</v>
      </c>
      <c r="G201" s="0" t="s">
        <v>75</v>
      </c>
      <c r="H201" s="0" t="s">
        <v>1335</v>
      </c>
      <c r="I201" s="0" t="s">
        <v>898</v>
      </c>
      <c r="J201" s="0" t="s">
        <v>1336</v>
      </c>
      <c r="K201" s="0" t="s">
        <v>50</v>
      </c>
      <c r="L201" s="0" t="s">
        <v>50</v>
      </c>
      <c r="M201" s="0" t="str">
        <f aca="false">HYPERLINK("https://www.genecards.org/Search/Keyword?queryString=%5Baliases%5D(%20KIR2DL4%20)%20OR%20%5Baliases%5D(%20KIR2DS4%20)%20OR%20%5Baliases%5D(%20KIR3DL1%20)%20OR%20%5Baliases%5D(%20LOC100287534%20)%20OR%20%5Baliases%5D(%20LOC112268354%20)&amp;keywords=KIR2DL4,KIR2DS4,KIR3DL1,LOC100287534,LOC112268354", "KIR2DL4;KIR2DS4;KIR3DL1;LOC100287534;LOC112268354")</f>
        <v>KIR2DL4;KIR2DS4;KIR3DL1;LOC100287534;LOC112268354</v>
      </c>
      <c r="N201" s="0" t="s">
        <v>80</v>
      </c>
      <c r="O201" s="0" t="s">
        <v>50</v>
      </c>
      <c r="P201" s="0" t="s">
        <v>50</v>
      </c>
      <c r="Q201" s="0" t="n">
        <v>-1</v>
      </c>
      <c r="R201" s="0" t="n">
        <v>-1</v>
      </c>
      <c r="S201" s="0" t="n">
        <v>-1</v>
      </c>
      <c r="T201" s="0" t="n">
        <v>-1</v>
      </c>
      <c r="U201" s="0" t="n">
        <v>-1</v>
      </c>
      <c r="V201" s="0" t="s">
        <v>50</v>
      </c>
      <c r="W201" s="0" t="s">
        <v>50</v>
      </c>
      <c r="X201" s="0" t="s">
        <v>49</v>
      </c>
      <c r="Y201" s="0" t="s">
        <v>82</v>
      </c>
      <c r="Z201" s="0" t="s">
        <v>50</v>
      </c>
      <c r="AA201" s="0" t="s">
        <v>50</v>
      </c>
      <c r="AB201" s="0" t="s">
        <v>50</v>
      </c>
      <c r="AC201" s="0" t="s">
        <v>53</v>
      </c>
      <c r="AD201" s="0" t="s">
        <v>1312</v>
      </c>
      <c r="AE201" s="0" t="s">
        <v>1313</v>
      </c>
      <c r="AF201" s="0" t="s">
        <v>1314</v>
      </c>
      <c r="AG201" s="0" t="s">
        <v>1315</v>
      </c>
      <c r="AH201" s="0" t="s">
        <v>50</v>
      </c>
      <c r="AI201" s="0" t="s">
        <v>50</v>
      </c>
      <c r="AJ201" s="0" t="s">
        <v>50</v>
      </c>
      <c r="AK201" s="0" t="s">
        <v>50</v>
      </c>
      <c r="AL201" s="0" t="s">
        <v>50</v>
      </c>
    </row>
    <row r="202" customFormat="false" ht="13.8" hidden="false" customHeight="false" outlineLevel="0" collapsed="false">
      <c r="B202" s="0" t="str">
        <f aca="false">HYPERLINK("https://genome.ucsc.edu/cgi-bin/hgTracks?db=hg19&amp;position=chr19%3A55324674%2D55324674", "chr19:55324674")</f>
        <v>chr19:55324674</v>
      </c>
      <c r="C202" s="0" t="s">
        <v>102</v>
      </c>
      <c r="D202" s="0" t="n">
        <v>55324674</v>
      </c>
      <c r="E202" s="0" t="n">
        <v>55324674</v>
      </c>
      <c r="F202" s="0" t="s">
        <v>308</v>
      </c>
      <c r="G202" s="0" t="s">
        <v>75</v>
      </c>
      <c r="H202" s="0" t="s">
        <v>1337</v>
      </c>
      <c r="I202" s="0" t="s">
        <v>488</v>
      </c>
      <c r="J202" s="0" t="s">
        <v>1338</v>
      </c>
      <c r="K202" s="0" t="s">
        <v>50</v>
      </c>
      <c r="L202" s="0" t="str">
        <f aca="false">HYPERLINK("https://www.ncbi.nlm.nih.gov/snp/rs11371265", "rs11371265")</f>
        <v>rs11371265</v>
      </c>
      <c r="M202" s="0" t="str">
        <f aca="false">HYPERLINK("https://www.genecards.org/Search/Keyword?queryString=%5Baliases%5D(%20KIR2DL4%20)%20OR%20%5Baliases%5D(%20LOC100287534%20)%20OR%20%5Baliases%5D(%20LOC112268354%20)&amp;keywords=KIR2DL4,LOC100287534,LOC112268354", "KIR2DL4;LOC100287534;LOC112268354")</f>
        <v>KIR2DL4;LOC100287534;LOC112268354</v>
      </c>
      <c r="N202" s="0" t="s">
        <v>92</v>
      </c>
      <c r="O202" s="0" t="s">
        <v>323</v>
      </c>
      <c r="P202" s="0" t="s">
        <v>1339</v>
      </c>
      <c r="Q202" s="0" t="n">
        <v>0.0044825</v>
      </c>
      <c r="R202" s="0" t="n">
        <v>-1</v>
      </c>
      <c r="S202" s="0" t="n">
        <v>-1</v>
      </c>
      <c r="T202" s="0" t="n">
        <v>-1</v>
      </c>
      <c r="U202" s="0" t="n">
        <v>-1</v>
      </c>
      <c r="V202" s="0" t="s">
        <v>50</v>
      </c>
      <c r="W202" s="0" t="s">
        <v>50</v>
      </c>
      <c r="X202" s="0" t="s">
        <v>50</v>
      </c>
      <c r="Y202" s="0" t="s">
        <v>50</v>
      </c>
      <c r="Z202" s="0" t="s">
        <v>50</v>
      </c>
      <c r="AA202" s="0" t="s">
        <v>50</v>
      </c>
      <c r="AB202" s="0" t="s">
        <v>50</v>
      </c>
      <c r="AC202" s="0" t="s">
        <v>53</v>
      </c>
      <c r="AD202" s="0" t="s">
        <v>1323</v>
      </c>
      <c r="AE202" s="0" t="s">
        <v>1324</v>
      </c>
      <c r="AF202" s="0" t="s">
        <v>1325</v>
      </c>
      <c r="AG202" s="0" t="s">
        <v>1326</v>
      </c>
      <c r="AH202" s="0" t="s">
        <v>50</v>
      </c>
      <c r="AI202" s="0" t="s">
        <v>50</v>
      </c>
      <c r="AJ202" s="0" t="s">
        <v>50</v>
      </c>
      <c r="AK202" s="0" t="s">
        <v>50</v>
      </c>
      <c r="AL202" s="0" t="s">
        <v>277</v>
      </c>
    </row>
    <row r="203" customFormat="false" ht="13.8" hidden="false" customHeight="false" outlineLevel="0" collapsed="false">
      <c r="B203" s="0" t="str">
        <f aca="false">HYPERLINK("https://genome.ucsc.edu/cgi-bin/hgTracks?db=hg19&amp;position=chr19%3A55329717%2D55329717", "chr19:55329717")</f>
        <v>chr19:55329717</v>
      </c>
      <c r="C203" s="0" t="s">
        <v>102</v>
      </c>
      <c r="D203" s="0" t="n">
        <v>55329717</v>
      </c>
      <c r="E203" s="0" t="n">
        <v>55329717</v>
      </c>
      <c r="F203" s="0" t="s">
        <v>40</v>
      </c>
      <c r="G203" s="0" t="s">
        <v>74</v>
      </c>
      <c r="H203" s="0" t="s">
        <v>1340</v>
      </c>
      <c r="I203" s="0" t="s">
        <v>1341</v>
      </c>
      <c r="J203" s="0" t="s">
        <v>1342</v>
      </c>
      <c r="K203" s="0" t="s">
        <v>50</v>
      </c>
      <c r="L203" s="0" t="s">
        <v>50</v>
      </c>
      <c r="M203" s="0" t="str">
        <f aca="false">HYPERLINK("https://www.genecards.org/Search/Keyword?queryString=%5Baliases%5D(%20KIR2DS4%20)%20OR%20%5Baliases%5D(%20KIR3DL1%20)&amp;keywords=KIR2DS4,KIR3DL1", "KIR2DS4;KIR3DL1")</f>
        <v>KIR2DS4;KIR3DL1</v>
      </c>
      <c r="N203" s="0" t="s">
        <v>80</v>
      </c>
      <c r="O203" s="0" t="s">
        <v>50</v>
      </c>
      <c r="P203" s="0" t="s">
        <v>50</v>
      </c>
      <c r="Q203" s="0" t="n">
        <v>0.0003</v>
      </c>
      <c r="R203" s="0" t="n">
        <v>0.0003</v>
      </c>
      <c r="S203" s="0" t="n">
        <v>-1</v>
      </c>
      <c r="T203" s="0" t="n">
        <v>-1</v>
      </c>
      <c r="U203" s="0" t="n">
        <v>-1</v>
      </c>
      <c r="V203" s="0" t="s">
        <v>50</v>
      </c>
      <c r="W203" s="0" t="s">
        <v>50</v>
      </c>
      <c r="X203" s="0" t="s">
        <v>81</v>
      </c>
      <c r="Y203" s="0" t="s">
        <v>82</v>
      </c>
      <c r="Z203" s="0" t="s">
        <v>50</v>
      </c>
      <c r="AA203" s="0" t="s">
        <v>50</v>
      </c>
      <c r="AB203" s="0" t="s">
        <v>50</v>
      </c>
      <c r="AC203" s="0" t="s">
        <v>53</v>
      </c>
      <c r="AD203" s="0" t="s">
        <v>1343</v>
      </c>
      <c r="AE203" s="0" t="s">
        <v>1344</v>
      </c>
      <c r="AF203" s="0" t="s">
        <v>1345</v>
      </c>
      <c r="AG203" s="0" t="s">
        <v>1346</v>
      </c>
      <c r="AH203" s="0" t="s">
        <v>50</v>
      </c>
      <c r="AI203" s="0" t="s">
        <v>50</v>
      </c>
      <c r="AJ203" s="0" t="s">
        <v>50</v>
      </c>
      <c r="AK203" s="0" t="s">
        <v>50</v>
      </c>
      <c r="AL203" s="0" t="s">
        <v>277</v>
      </c>
    </row>
    <row r="204" customFormat="false" ht="13.8" hidden="false" customHeight="false" outlineLevel="0" collapsed="false">
      <c r="B204" s="0" t="str">
        <f aca="false">HYPERLINK("https://genome.ucsc.edu/cgi-bin/hgTracks?db=hg19&amp;position=chr19%3A55329749%2D55329749", "chr19:55329749")</f>
        <v>chr19:55329749</v>
      </c>
      <c r="C204" s="0" t="s">
        <v>102</v>
      </c>
      <c r="D204" s="0" t="n">
        <v>55329749</v>
      </c>
      <c r="E204" s="0" t="n">
        <v>55329749</v>
      </c>
      <c r="F204" s="0" t="s">
        <v>39</v>
      </c>
      <c r="G204" s="0" t="s">
        <v>40</v>
      </c>
      <c r="H204" s="0" t="s">
        <v>1347</v>
      </c>
      <c r="I204" s="0" t="s">
        <v>1348</v>
      </c>
      <c r="J204" s="0" t="s">
        <v>1349</v>
      </c>
      <c r="K204" s="0" t="s">
        <v>50</v>
      </c>
      <c r="L204" s="0" t="s">
        <v>50</v>
      </c>
      <c r="M204" s="0" t="str">
        <f aca="false">HYPERLINK("https://www.genecards.org/Search/Keyword?queryString=%5Baliases%5D(%20KIR2DS4%20)%20OR%20%5Baliases%5D(%20KIR3DL1%20)&amp;keywords=KIR2DS4,KIR3DL1", "KIR2DS4;KIR3DL1")</f>
        <v>KIR2DS4;KIR3DL1</v>
      </c>
      <c r="N204" s="0" t="s">
        <v>80</v>
      </c>
      <c r="O204" s="0" t="s">
        <v>50</v>
      </c>
      <c r="P204" s="0" t="s">
        <v>50</v>
      </c>
      <c r="Q204" s="0" t="n">
        <v>-1</v>
      </c>
      <c r="R204" s="0" t="n">
        <v>-1</v>
      </c>
      <c r="S204" s="0" t="n">
        <v>-1</v>
      </c>
      <c r="T204" s="0" t="n">
        <v>-1</v>
      </c>
      <c r="U204" s="0" t="n">
        <v>-1</v>
      </c>
      <c r="V204" s="0" t="s">
        <v>50</v>
      </c>
      <c r="W204" s="0" t="s">
        <v>50</v>
      </c>
      <c r="X204" s="0" t="s">
        <v>81</v>
      </c>
      <c r="Y204" s="0" t="s">
        <v>82</v>
      </c>
      <c r="Z204" s="0" t="s">
        <v>50</v>
      </c>
      <c r="AA204" s="0" t="s">
        <v>50</v>
      </c>
      <c r="AB204" s="0" t="s">
        <v>50</v>
      </c>
      <c r="AC204" s="0" t="s">
        <v>53</v>
      </c>
      <c r="AD204" s="0" t="s">
        <v>1343</v>
      </c>
      <c r="AE204" s="0" t="s">
        <v>1344</v>
      </c>
      <c r="AF204" s="0" t="s">
        <v>1345</v>
      </c>
      <c r="AG204" s="0" t="s">
        <v>1346</v>
      </c>
      <c r="AH204" s="0" t="s">
        <v>50</v>
      </c>
      <c r="AI204" s="0" t="s">
        <v>632</v>
      </c>
      <c r="AJ204" s="0" t="s">
        <v>50</v>
      </c>
      <c r="AK204" s="0" t="s">
        <v>50</v>
      </c>
      <c r="AL204" s="0" t="s">
        <v>277</v>
      </c>
    </row>
    <row r="205" customFormat="false" ht="13.8" hidden="false" customHeight="false" outlineLevel="0" collapsed="false">
      <c r="B205" s="0" t="str">
        <f aca="false">HYPERLINK("https://genome.ucsc.edu/cgi-bin/hgTracks?db=hg19&amp;position=chr19%3A55367015%2D55367015", "chr19:55367015")</f>
        <v>chr19:55367015</v>
      </c>
      <c r="C205" s="0" t="s">
        <v>102</v>
      </c>
      <c r="D205" s="0" t="n">
        <v>55367015</v>
      </c>
      <c r="E205" s="0" t="n">
        <v>55367015</v>
      </c>
      <c r="F205" s="0" t="s">
        <v>75</v>
      </c>
      <c r="G205" s="0" t="s">
        <v>74</v>
      </c>
      <c r="H205" s="0" t="s">
        <v>1350</v>
      </c>
      <c r="I205" s="0" t="s">
        <v>1351</v>
      </c>
      <c r="J205" s="0" t="s">
        <v>1352</v>
      </c>
      <c r="K205" s="0" t="s">
        <v>50</v>
      </c>
      <c r="L205" s="0" t="str">
        <f aca="false">HYPERLINK("https://www.ncbi.nlm.nih.gov/snp/rs199827986", "rs199827986")</f>
        <v>rs199827986</v>
      </c>
      <c r="M205" s="0" t="str">
        <f aca="false">HYPERLINK("https://www.genecards.org/Search/Keyword?queryString=%5Baliases%5D(%20KIR2DS4%20)%20OR%20%5Baliases%5D(%20KIR3DL1%20)%20OR%20%5Baliases%5D(%20KIR3DL2%20)&amp;keywords=KIR2DS4,KIR3DL1,KIR3DL2", "KIR2DS4;KIR3DL1;KIR3DL2")</f>
        <v>KIR2DS4;KIR3DL1;KIR3DL2</v>
      </c>
      <c r="N205" s="0" t="s">
        <v>80</v>
      </c>
      <c r="O205" s="0" t="s">
        <v>50</v>
      </c>
      <c r="P205" s="0" t="s">
        <v>50</v>
      </c>
      <c r="Q205" s="0" t="n">
        <v>0.0026972</v>
      </c>
      <c r="R205" s="0" t="n">
        <v>-1</v>
      </c>
      <c r="S205" s="0" t="n">
        <v>-1</v>
      </c>
      <c r="T205" s="0" t="n">
        <v>-1</v>
      </c>
      <c r="U205" s="0" t="n">
        <v>-1</v>
      </c>
      <c r="V205" s="0" t="s">
        <v>50</v>
      </c>
      <c r="W205" s="0" t="s">
        <v>50</v>
      </c>
      <c r="X205" s="0" t="s">
        <v>49</v>
      </c>
      <c r="Y205" s="0" t="s">
        <v>82</v>
      </c>
      <c r="Z205" s="0" t="s">
        <v>50</v>
      </c>
      <c r="AA205" s="0" t="s">
        <v>50</v>
      </c>
      <c r="AB205" s="0" t="s">
        <v>50</v>
      </c>
      <c r="AC205" s="0" t="s">
        <v>53</v>
      </c>
      <c r="AD205" s="0" t="s">
        <v>1353</v>
      </c>
      <c r="AE205" s="0" t="s">
        <v>1354</v>
      </c>
      <c r="AF205" s="0" t="s">
        <v>1355</v>
      </c>
      <c r="AG205" s="0" t="s">
        <v>1356</v>
      </c>
      <c r="AH205" s="0" t="s">
        <v>50</v>
      </c>
      <c r="AI205" s="0" t="s">
        <v>632</v>
      </c>
      <c r="AJ205" s="0" t="s">
        <v>50</v>
      </c>
      <c r="AK205" s="0" t="s">
        <v>50</v>
      </c>
      <c r="AL205" s="0" t="s">
        <v>277</v>
      </c>
    </row>
    <row r="206" customFormat="false" ht="13.8" hidden="false" customHeight="false" outlineLevel="0" collapsed="false">
      <c r="B206" s="0" t="str">
        <f aca="false">HYPERLINK("https://genome.ucsc.edu/cgi-bin/hgTracks?db=hg19&amp;position=chr19%3A56599449%2D56599450", "chr19:56599449")</f>
        <v>chr19:56599449</v>
      </c>
      <c r="C206" s="0" t="s">
        <v>102</v>
      </c>
      <c r="D206" s="0" t="n">
        <v>56599449</v>
      </c>
      <c r="E206" s="0" t="n">
        <v>56599450</v>
      </c>
      <c r="F206" s="0" t="s">
        <v>1357</v>
      </c>
      <c r="G206" s="0" t="s">
        <v>308</v>
      </c>
      <c r="H206" s="0" t="s">
        <v>1358</v>
      </c>
      <c r="I206" s="0" t="s">
        <v>643</v>
      </c>
      <c r="J206" s="0" t="s">
        <v>1359</v>
      </c>
      <c r="K206" s="0" t="s">
        <v>50</v>
      </c>
      <c r="L206" s="0" t="str">
        <f aca="false">HYPERLINK("https://www.ncbi.nlm.nih.gov/snp/rs771950084", "rs771950084")</f>
        <v>rs771950084</v>
      </c>
      <c r="M206" s="0" t="str">
        <f aca="false">HYPERLINK("https://www.genecards.org/Search/Keyword?queryString=%5Baliases%5D(%20ZNF787%20)&amp;keywords=ZNF787", "ZNF787")</f>
        <v>ZNF787</v>
      </c>
      <c r="N206" s="0" t="s">
        <v>92</v>
      </c>
      <c r="O206" s="0" t="s">
        <v>312</v>
      </c>
      <c r="P206" s="0" t="s">
        <v>1360</v>
      </c>
      <c r="Q206" s="0" t="n">
        <v>0.0012</v>
      </c>
      <c r="R206" s="0" t="n">
        <v>0.0014</v>
      </c>
      <c r="S206" s="0" t="n">
        <v>0.0012</v>
      </c>
      <c r="T206" s="0" t="n">
        <v>-1</v>
      </c>
      <c r="U206" s="0" t="n">
        <v>0.0019</v>
      </c>
      <c r="V206" s="0" t="s">
        <v>50</v>
      </c>
      <c r="W206" s="0" t="s">
        <v>50</v>
      </c>
      <c r="X206" s="0" t="s">
        <v>50</v>
      </c>
      <c r="Y206" s="0" t="s">
        <v>50</v>
      </c>
      <c r="Z206" s="0" t="s">
        <v>50</v>
      </c>
      <c r="AA206" s="0" t="s">
        <v>50</v>
      </c>
      <c r="AB206" s="0" t="s">
        <v>50</v>
      </c>
      <c r="AC206" s="0" t="s">
        <v>53</v>
      </c>
      <c r="AD206" s="0" t="s">
        <v>226</v>
      </c>
      <c r="AE206" s="0" t="s">
        <v>1361</v>
      </c>
      <c r="AF206" s="0" t="s">
        <v>1362</v>
      </c>
      <c r="AG206" s="0" t="s">
        <v>1363</v>
      </c>
      <c r="AH206" s="0" t="s">
        <v>50</v>
      </c>
      <c r="AI206" s="0" t="s">
        <v>50</v>
      </c>
      <c r="AJ206" s="0" t="s">
        <v>50</v>
      </c>
      <c r="AK206" s="0" t="s">
        <v>50</v>
      </c>
      <c r="AL206" s="0" t="s">
        <v>50</v>
      </c>
    </row>
    <row r="207" customFormat="false" ht="13.8" hidden="false" customHeight="false" outlineLevel="0" collapsed="false">
      <c r="B207" s="0" t="str">
        <f aca="false">HYPERLINK("https://genome.ucsc.edu/cgi-bin/hgTracks?db=hg19&amp;position=chr19%3A56599452%2D56599452", "chr19:56599452")</f>
        <v>chr19:56599452</v>
      </c>
      <c r="C207" s="0" t="s">
        <v>102</v>
      </c>
      <c r="D207" s="0" t="n">
        <v>56599452</v>
      </c>
      <c r="E207" s="0" t="n">
        <v>56599452</v>
      </c>
      <c r="F207" s="0" t="s">
        <v>74</v>
      </c>
      <c r="G207" s="0" t="s">
        <v>308</v>
      </c>
      <c r="H207" s="0" t="s">
        <v>1358</v>
      </c>
      <c r="I207" s="0" t="s">
        <v>643</v>
      </c>
      <c r="J207" s="0" t="s">
        <v>1359</v>
      </c>
      <c r="K207" s="0" t="s">
        <v>50</v>
      </c>
      <c r="L207" s="0" t="str">
        <f aca="false">HYPERLINK("https://www.ncbi.nlm.nih.gov/snp/rs770489377", "rs770489377")</f>
        <v>rs770489377</v>
      </c>
      <c r="M207" s="0" t="str">
        <f aca="false">HYPERLINK("https://www.genecards.org/Search/Keyword?queryString=%5Baliases%5D(%20ZNF787%20)&amp;keywords=ZNF787", "ZNF787")</f>
        <v>ZNF787</v>
      </c>
      <c r="N207" s="0" t="s">
        <v>92</v>
      </c>
      <c r="O207" s="0" t="s">
        <v>312</v>
      </c>
      <c r="P207" s="0" t="s">
        <v>1364</v>
      </c>
      <c r="Q207" s="0" t="n">
        <v>0.0012</v>
      </c>
      <c r="R207" s="0" t="n">
        <v>0.0014</v>
      </c>
      <c r="S207" s="0" t="n">
        <v>0.0012</v>
      </c>
      <c r="T207" s="0" t="n">
        <v>-1</v>
      </c>
      <c r="U207" s="0" t="n">
        <v>0.0019</v>
      </c>
      <c r="V207" s="0" t="s">
        <v>50</v>
      </c>
      <c r="W207" s="0" t="s">
        <v>50</v>
      </c>
      <c r="X207" s="0" t="s">
        <v>50</v>
      </c>
      <c r="Y207" s="0" t="s">
        <v>50</v>
      </c>
      <c r="Z207" s="0" t="s">
        <v>50</v>
      </c>
      <c r="AA207" s="0" t="s">
        <v>50</v>
      </c>
      <c r="AB207" s="0" t="s">
        <v>50</v>
      </c>
      <c r="AC207" s="0" t="s">
        <v>53</v>
      </c>
      <c r="AD207" s="0" t="s">
        <v>226</v>
      </c>
      <c r="AE207" s="0" t="s">
        <v>1361</v>
      </c>
      <c r="AF207" s="0" t="s">
        <v>1362</v>
      </c>
      <c r="AG207" s="0" t="s">
        <v>1363</v>
      </c>
      <c r="AH207" s="0" t="s">
        <v>50</v>
      </c>
      <c r="AI207" s="0" t="s">
        <v>50</v>
      </c>
      <c r="AJ207" s="0" t="s">
        <v>50</v>
      </c>
      <c r="AK207" s="0" t="s">
        <v>50</v>
      </c>
      <c r="AL207" s="0" t="s">
        <v>50</v>
      </c>
    </row>
    <row r="208" customFormat="false" ht="13.8" hidden="false" customHeight="false" outlineLevel="0" collapsed="false">
      <c r="B208" s="0" t="str">
        <f aca="false">HYPERLINK("https://genome.ucsc.edu/cgi-bin/hgTracks?db=hg19&amp;position=chr19%3A58117016%2D58117016", "chr19:58117016")</f>
        <v>chr19:58117016</v>
      </c>
      <c r="C208" s="0" t="s">
        <v>102</v>
      </c>
      <c r="D208" s="0" t="n">
        <v>58117016</v>
      </c>
      <c r="E208" s="0" t="n">
        <v>58117016</v>
      </c>
      <c r="F208" s="0" t="s">
        <v>75</v>
      </c>
      <c r="G208" s="0" t="s">
        <v>74</v>
      </c>
      <c r="H208" s="0" t="s">
        <v>1365</v>
      </c>
      <c r="I208" s="0" t="s">
        <v>476</v>
      </c>
      <c r="J208" s="0" t="s">
        <v>1366</v>
      </c>
      <c r="K208" s="0" t="s">
        <v>50</v>
      </c>
      <c r="L208" s="0" t="str">
        <f aca="false">HYPERLINK("https://www.ncbi.nlm.nih.gov/snp/rs199647158", "rs199647158")</f>
        <v>rs199647158</v>
      </c>
      <c r="M208" s="0" t="str">
        <f aca="false">HYPERLINK("https://www.genecards.org/Search/Keyword?queryString=%5Baliases%5D(%20ZNF530%20)&amp;keywords=ZNF530", "ZNF530")</f>
        <v>ZNF530</v>
      </c>
      <c r="N208" s="0" t="s">
        <v>80</v>
      </c>
      <c r="O208" s="0" t="s">
        <v>50</v>
      </c>
      <c r="P208" s="0" t="s">
        <v>50</v>
      </c>
      <c r="Q208" s="0" t="n">
        <v>0.0034</v>
      </c>
      <c r="R208" s="0" t="n">
        <v>0.001</v>
      </c>
      <c r="S208" s="0" t="n">
        <v>0.0012</v>
      </c>
      <c r="T208" s="0" t="n">
        <v>-1</v>
      </c>
      <c r="U208" s="0" t="n">
        <v>0.0007</v>
      </c>
      <c r="V208" s="0" t="s">
        <v>50</v>
      </c>
      <c r="W208" s="0" t="s">
        <v>50</v>
      </c>
      <c r="X208" s="0" t="s">
        <v>49</v>
      </c>
      <c r="Y208" s="0" t="s">
        <v>82</v>
      </c>
      <c r="Z208" s="0" t="s">
        <v>50</v>
      </c>
      <c r="AA208" s="0" t="s">
        <v>50</v>
      </c>
      <c r="AB208" s="0" t="s">
        <v>50</v>
      </c>
      <c r="AC208" s="0" t="s">
        <v>53</v>
      </c>
      <c r="AD208" s="0" t="s">
        <v>54</v>
      </c>
      <c r="AE208" s="0" t="s">
        <v>1367</v>
      </c>
      <c r="AF208" s="0" t="s">
        <v>1368</v>
      </c>
      <c r="AG208" s="0" t="s">
        <v>1369</v>
      </c>
      <c r="AH208" s="0" t="s">
        <v>50</v>
      </c>
      <c r="AI208" s="0" t="s">
        <v>50</v>
      </c>
      <c r="AJ208" s="0" t="s">
        <v>50</v>
      </c>
      <c r="AK208" s="0" t="s">
        <v>50</v>
      </c>
      <c r="AL208" s="0" t="s">
        <v>50</v>
      </c>
    </row>
    <row r="209" customFormat="false" ht="13.8" hidden="false" customHeight="false" outlineLevel="0" collapsed="false">
      <c r="B209" s="0" t="str">
        <f aca="false">HYPERLINK("https://genome.ucsc.edu/cgi-bin/hgTracks?db=hg19&amp;position=chr2%3A9552384%2D9552384", "chr2:9552384")</f>
        <v>chr2:9552384</v>
      </c>
      <c r="C209" s="0" t="s">
        <v>258</v>
      </c>
      <c r="D209" s="0" t="n">
        <v>9552384</v>
      </c>
      <c r="E209" s="0" t="n">
        <v>9552384</v>
      </c>
      <c r="F209" s="0" t="s">
        <v>40</v>
      </c>
      <c r="G209" s="0" t="s">
        <v>308</v>
      </c>
      <c r="H209" s="0" t="s">
        <v>1370</v>
      </c>
      <c r="I209" s="0" t="s">
        <v>1371</v>
      </c>
      <c r="J209" s="0" t="s">
        <v>1372</v>
      </c>
      <c r="K209" s="0" t="s">
        <v>50</v>
      </c>
      <c r="L209" s="0" t="str">
        <f aca="false">HYPERLINK("https://www.ncbi.nlm.nih.gov/snp/rs762911514", "rs762911514")</f>
        <v>rs762911514</v>
      </c>
      <c r="M209" s="0" t="str">
        <f aca="false">HYPERLINK("https://www.genecards.org/Search/Keyword?queryString=%5Baliases%5D(%20ITGB1BP1%20)&amp;keywords=ITGB1BP1", "ITGB1BP1")</f>
        <v>ITGB1BP1</v>
      </c>
      <c r="N209" s="0" t="s">
        <v>691</v>
      </c>
      <c r="O209" s="0" t="s">
        <v>312</v>
      </c>
      <c r="P209" s="0" t="s">
        <v>1373</v>
      </c>
      <c r="Q209" s="0" t="n">
        <v>0.0272</v>
      </c>
      <c r="R209" s="0" t="n">
        <v>0.0191</v>
      </c>
      <c r="S209" s="0" t="n">
        <v>0.0086</v>
      </c>
      <c r="T209" s="0" t="n">
        <v>-1</v>
      </c>
      <c r="U209" s="0" t="n">
        <v>0.0192</v>
      </c>
      <c r="V209" s="0" t="s">
        <v>50</v>
      </c>
      <c r="W209" s="0" t="s">
        <v>50</v>
      </c>
      <c r="X209" s="0" t="s">
        <v>50</v>
      </c>
      <c r="Y209" s="0" t="s">
        <v>50</v>
      </c>
      <c r="Z209" s="0" t="s">
        <v>50</v>
      </c>
      <c r="AA209" s="0" t="s">
        <v>50</v>
      </c>
      <c r="AB209" s="0" t="s">
        <v>50</v>
      </c>
      <c r="AC209" s="0" t="s">
        <v>53</v>
      </c>
      <c r="AD209" s="0" t="s">
        <v>54</v>
      </c>
      <c r="AE209" s="0" t="s">
        <v>1374</v>
      </c>
      <c r="AF209" s="0" t="s">
        <v>1375</v>
      </c>
      <c r="AG209" s="0" t="s">
        <v>1376</v>
      </c>
      <c r="AH209" s="0" t="s">
        <v>50</v>
      </c>
      <c r="AI209" s="0" t="s">
        <v>50</v>
      </c>
      <c r="AJ209" s="0" t="s">
        <v>50</v>
      </c>
      <c r="AK209" s="0" t="s">
        <v>50</v>
      </c>
      <c r="AL209" s="0" t="s">
        <v>50</v>
      </c>
    </row>
    <row r="210" customFormat="false" ht="13.8" hidden="false" customHeight="false" outlineLevel="0" collapsed="false">
      <c r="B210" s="0" t="str">
        <f aca="false">HYPERLINK("https://genome.ucsc.edu/cgi-bin/hgTracks?db=hg19&amp;position=chr2%3A9989570%2D9989570", "chr2:9989570")</f>
        <v>chr2:9989570</v>
      </c>
      <c r="C210" s="0" t="s">
        <v>258</v>
      </c>
      <c r="D210" s="0" t="n">
        <v>9989570</v>
      </c>
      <c r="E210" s="0" t="n">
        <v>9989570</v>
      </c>
      <c r="F210" s="0" t="s">
        <v>308</v>
      </c>
      <c r="G210" s="0" t="s">
        <v>75</v>
      </c>
      <c r="H210" s="0" t="s">
        <v>1377</v>
      </c>
      <c r="I210" s="0" t="s">
        <v>1106</v>
      </c>
      <c r="J210" s="0" t="s">
        <v>1378</v>
      </c>
      <c r="K210" s="0" t="s">
        <v>50</v>
      </c>
      <c r="L210" s="0" t="str">
        <f aca="false">HYPERLINK("https://www.ncbi.nlm.nih.gov/snp/rs754654075", "rs754654075")</f>
        <v>rs754654075</v>
      </c>
      <c r="M210" s="0" t="str">
        <f aca="false">HYPERLINK("https://www.genecards.org/Search/Keyword?queryString=%5Baliases%5D(%20TAF1B%20)&amp;keywords=TAF1B", "TAF1B")</f>
        <v>TAF1B</v>
      </c>
      <c r="N210" s="0" t="s">
        <v>92</v>
      </c>
      <c r="O210" s="0" t="s">
        <v>323</v>
      </c>
      <c r="P210" s="0" t="s">
        <v>1379</v>
      </c>
      <c r="Q210" s="0" t="n">
        <v>0.0277</v>
      </c>
      <c r="R210" s="0" t="n">
        <v>0.0054</v>
      </c>
      <c r="S210" s="0" t="n">
        <v>0.0009</v>
      </c>
      <c r="T210" s="0" t="n">
        <v>-1</v>
      </c>
      <c r="U210" s="0" t="n">
        <v>0.0022</v>
      </c>
      <c r="V210" s="0" t="s">
        <v>50</v>
      </c>
      <c r="W210" s="0" t="s">
        <v>50</v>
      </c>
      <c r="X210" s="0" t="s">
        <v>50</v>
      </c>
      <c r="Y210" s="0" t="s">
        <v>50</v>
      </c>
      <c r="Z210" s="0" t="s">
        <v>50</v>
      </c>
      <c r="AA210" s="0" t="s">
        <v>50</v>
      </c>
      <c r="AB210" s="0" t="s">
        <v>50</v>
      </c>
      <c r="AC210" s="0" t="s">
        <v>53</v>
      </c>
      <c r="AD210" s="0" t="s">
        <v>54</v>
      </c>
      <c r="AE210" s="0" t="s">
        <v>1380</v>
      </c>
      <c r="AF210" s="0" t="s">
        <v>1381</v>
      </c>
      <c r="AG210" s="0" t="s">
        <v>1382</v>
      </c>
      <c r="AH210" s="0" t="s">
        <v>50</v>
      </c>
      <c r="AI210" s="0" t="s">
        <v>50</v>
      </c>
      <c r="AJ210" s="0" t="s">
        <v>50</v>
      </c>
      <c r="AK210" s="0" t="s">
        <v>50</v>
      </c>
      <c r="AL210" s="0" t="s">
        <v>50</v>
      </c>
    </row>
    <row r="211" customFormat="false" ht="13.8" hidden="false" customHeight="false" outlineLevel="0" collapsed="false">
      <c r="B211" s="0" t="str">
        <f aca="false">HYPERLINK("https://genome.ucsc.edu/cgi-bin/hgTracks?db=hg19&amp;position=chr2%3A10094948%2D10094948", "chr2:10094948")</f>
        <v>chr2:10094948</v>
      </c>
      <c r="C211" s="0" t="s">
        <v>258</v>
      </c>
      <c r="D211" s="0" t="n">
        <v>10094948</v>
      </c>
      <c r="E211" s="0" t="n">
        <v>10094948</v>
      </c>
      <c r="F211" s="0" t="s">
        <v>75</v>
      </c>
      <c r="G211" s="0" t="s">
        <v>74</v>
      </c>
      <c r="H211" s="0" t="s">
        <v>1383</v>
      </c>
      <c r="I211" s="0" t="s">
        <v>979</v>
      </c>
      <c r="J211" s="0" t="s">
        <v>1384</v>
      </c>
      <c r="K211" s="0" t="s">
        <v>50</v>
      </c>
      <c r="L211" s="0" t="str">
        <f aca="false">HYPERLINK("https://www.ncbi.nlm.nih.gov/snp/rs142705932", "rs142705932")</f>
        <v>rs142705932</v>
      </c>
      <c r="M211" s="0" t="str">
        <f aca="false">HYPERLINK("https://www.genecards.org/Search/Keyword?queryString=%5Baliases%5D(%20BC051708%20)%20OR%20%5Baliases%5D(%20GRHL1%20)&amp;keywords=BC051708,GRHL1", "BC051708;GRHL1")</f>
        <v>BC051708;GRHL1</v>
      </c>
      <c r="N211" s="0" t="s">
        <v>390</v>
      </c>
      <c r="O211" s="0" t="s">
        <v>50</v>
      </c>
      <c r="P211" s="0" t="s">
        <v>50</v>
      </c>
      <c r="Q211" s="0" t="n">
        <v>0.0276</v>
      </c>
      <c r="R211" s="0" t="n">
        <v>0.0074</v>
      </c>
      <c r="S211" s="0" t="n">
        <v>0.0094</v>
      </c>
      <c r="T211" s="0" t="n">
        <v>-1</v>
      </c>
      <c r="U211" s="0" t="n">
        <v>0.0081</v>
      </c>
      <c r="V211" s="0" t="s">
        <v>50</v>
      </c>
      <c r="W211" s="0" t="s">
        <v>50</v>
      </c>
      <c r="X211" s="0" t="s">
        <v>49</v>
      </c>
      <c r="Y211" s="0" t="s">
        <v>82</v>
      </c>
      <c r="Z211" s="0" t="s">
        <v>50</v>
      </c>
      <c r="AA211" s="0" t="s">
        <v>50</v>
      </c>
      <c r="AB211" s="0" t="s">
        <v>50</v>
      </c>
      <c r="AC211" s="0" t="s">
        <v>53</v>
      </c>
      <c r="AD211" s="0" t="s">
        <v>157</v>
      </c>
      <c r="AE211" s="0" t="s">
        <v>1385</v>
      </c>
      <c r="AF211" s="0" t="s">
        <v>1386</v>
      </c>
      <c r="AG211" s="0" t="s">
        <v>1387</v>
      </c>
      <c r="AH211" s="0" t="s">
        <v>50</v>
      </c>
      <c r="AI211" s="0" t="s">
        <v>50</v>
      </c>
      <c r="AJ211" s="0" t="s">
        <v>50</v>
      </c>
      <c r="AK211" s="0" t="s">
        <v>50</v>
      </c>
      <c r="AL211" s="0" t="s">
        <v>50</v>
      </c>
    </row>
    <row r="212" customFormat="false" ht="13.8" hidden="false" customHeight="false" outlineLevel="0" collapsed="false">
      <c r="B212" s="0" t="str">
        <f aca="false">HYPERLINK("https://genome.ucsc.edu/cgi-bin/hgTracks?db=hg19&amp;position=chr2%3A31409155%2D31409155", "chr2:31409155")</f>
        <v>chr2:31409155</v>
      </c>
      <c r="C212" s="0" t="s">
        <v>258</v>
      </c>
      <c r="D212" s="0" t="n">
        <v>31409155</v>
      </c>
      <c r="E212" s="0" t="n">
        <v>31409155</v>
      </c>
      <c r="F212" s="0" t="s">
        <v>39</v>
      </c>
      <c r="G212" s="0" t="s">
        <v>40</v>
      </c>
      <c r="H212" s="0" t="s">
        <v>1388</v>
      </c>
      <c r="I212" s="0" t="s">
        <v>990</v>
      </c>
      <c r="J212" s="0" t="s">
        <v>1389</v>
      </c>
      <c r="K212" s="0" t="s">
        <v>50</v>
      </c>
      <c r="L212" s="0" t="str">
        <f aca="false">HYPERLINK("https://www.ncbi.nlm.nih.gov/snp/rs554740960", "rs554740960")</f>
        <v>rs554740960</v>
      </c>
      <c r="M212" s="0" t="str">
        <f aca="false">HYPERLINK("https://www.genecards.org/Search/Keyword?queryString=%5Baliases%5D(%20CAPN14%20)&amp;keywords=CAPN14", "CAPN14")</f>
        <v>CAPN14</v>
      </c>
      <c r="N212" s="0" t="s">
        <v>80</v>
      </c>
      <c r="O212" s="0" t="s">
        <v>50</v>
      </c>
      <c r="P212" s="0" t="s">
        <v>50</v>
      </c>
      <c r="Q212" s="0" t="n">
        <v>0.0049</v>
      </c>
      <c r="R212" s="0" t="n">
        <v>0.0065</v>
      </c>
      <c r="S212" s="0" t="n">
        <v>0.005</v>
      </c>
      <c r="T212" s="0" t="n">
        <v>-1</v>
      </c>
      <c r="U212" s="0" t="n">
        <v>0.0105</v>
      </c>
      <c r="V212" s="0" t="s">
        <v>50</v>
      </c>
      <c r="W212" s="0" t="s">
        <v>50</v>
      </c>
      <c r="X212" s="0" t="s">
        <v>81</v>
      </c>
      <c r="Y212" s="0" t="s">
        <v>82</v>
      </c>
      <c r="Z212" s="0" t="s">
        <v>50</v>
      </c>
      <c r="AA212" s="0" t="s">
        <v>50</v>
      </c>
      <c r="AB212" s="0" t="s">
        <v>50</v>
      </c>
      <c r="AC212" s="0" t="s">
        <v>53</v>
      </c>
      <c r="AD212" s="0" t="s">
        <v>54</v>
      </c>
      <c r="AE212" s="0" t="s">
        <v>50</v>
      </c>
      <c r="AF212" s="0" t="s">
        <v>1390</v>
      </c>
      <c r="AG212" s="0" t="s">
        <v>1391</v>
      </c>
      <c r="AH212" s="0" t="s">
        <v>50</v>
      </c>
      <c r="AI212" s="0" t="s">
        <v>50</v>
      </c>
      <c r="AJ212" s="0" t="s">
        <v>50</v>
      </c>
      <c r="AK212" s="0" t="s">
        <v>50</v>
      </c>
      <c r="AL212" s="0" t="s">
        <v>50</v>
      </c>
    </row>
    <row r="213" customFormat="false" ht="13.8" hidden="false" customHeight="false" outlineLevel="0" collapsed="false">
      <c r="B213" s="0" t="str">
        <f aca="false">HYPERLINK("https://genome.ucsc.edu/cgi-bin/hgTracks?db=hg19&amp;position=chr2%3A32690298%2D32690298", "chr2:32690298")</f>
        <v>chr2:32690298</v>
      </c>
      <c r="C213" s="0" t="s">
        <v>258</v>
      </c>
      <c r="D213" s="0" t="n">
        <v>32690298</v>
      </c>
      <c r="E213" s="0" t="n">
        <v>32690298</v>
      </c>
      <c r="F213" s="0" t="s">
        <v>39</v>
      </c>
      <c r="G213" s="0" t="s">
        <v>74</v>
      </c>
      <c r="H213" s="0" t="s">
        <v>744</v>
      </c>
      <c r="I213" s="0" t="s">
        <v>824</v>
      </c>
      <c r="J213" s="0" t="s">
        <v>1020</v>
      </c>
      <c r="K213" s="0" t="s">
        <v>50</v>
      </c>
      <c r="L213" s="0" t="str">
        <f aca="false">HYPERLINK("https://www.ncbi.nlm.nih.gov/snp/rs55958719", "rs55958719")</f>
        <v>rs55958719</v>
      </c>
      <c r="M213" s="0" t="str">
        <f aca="false">HYPERLINK("https://www.genecards.org/Search/Keyword?queryString=%5Baliases%5D(%20BIRC6%20)&amp;keywords=BIRC6", "BIRC6")</f>
        <v>BIRC6</v>
      </c>
      <c r="N213" s="0" t="s">
        <v>80</v>
      </c>
      <c r="O213" s="0" t="s">
        <v>50</v>
      </c>
      <c r="P213" s="0" t="s">
        <v>50</v>
      </c>
      <c r="Q213" s="0" t="n">
        <v>0.0127</v>
      </c>
      <c r="R213" s="0" t="n">
        <v>0.0103</v>
      </c>
      <c r="S213" s="0" t="n">
        <v>0.0117</v>
      </c>
      <c r="T213" s="0" t="n">
        <v>-1</v>
      </c>
      <c r="U213" s="0" t="n">
        <v>0.0059</v>
      </c>
      <c r="V213" s="0" t="s">
        <v>50</v>
      </c>
      <c r="W213" s="0" t="s">
        <v>50</v>
      </c>
      <c r="X213" s="0" t="s">
        <v>81</v>
      </c>
      <c r="Y213" s="0" t="s">
        <v>82</v>
      </c>
      <c r="Z213" s="0" t="s">
        <v>50</v>
      </c>
      <c r="AA213" s="0" t="s">
        <v>50</v>
      </c>
      <c r="AB213" s="0" t="s">
        <v>50</v>
      </c>
      <c r="AC213" s="0" t="s">
        <v>53</v>
      </c>
      <c r="AD213" s="0" t="s">
        <v>54</v>
      </c>
      <c r="AE213" s="0" t="s">
        <v>1392</v>
      </c>
      <c r="AF213" s="0" t="s">
        <v>1393</v>
      </c>
      <c r="AG213" s="0" t="s">
        <v>1394</v>
      </c>
      <c r="AH213" s="0" t="s">
        <v>50</v>
      </c>
      <c r="AI213" s="0" t="s">
        <v>50</v>
      </c>
      <c r="AJ213" s="0" t="s">
        <v>50</v>
      </c>
      <c r="AK213" s="0" t="s">
        <v>50</v>
      </c>
      <c r="AL213" s="0" t="s">
        <v>50</v>
      </c>
    </row>
    <row r="214" customFormat="false" ht="13.8" hidden="false" customHeight="false" outlineLevel="0" collapsed="false">
      <c r="B214" s="0" t="str">
        <f aca="false">HYPERLINK("https://genome.ucsc.edu/cgi-bin/hgTracks?db=hg19&amp;position=chr2%3A33042728%2D33042728", "chr2:33042728")</f>
        <v>chr2:33042728</v>
      </c>
      <c r="C214" s="0" t="s">
        <v>258</v>
      </c>
      <c r="D214" s="0" t="n">
        <v>33042728</v>
      </c>
      <c r="E214" s="0" t="n">
        <v>33042728</v>
      </c>
      <c r="F214" s="0" t="s">
        <v>39</v>
      </c>
      <c r="G214" s="0" t="s">
        <v>40</v>
      </c>
      <c r="H214" s="0" t="s">
        <v>1395</v>
      </c>
      <c r="I214" s="0" t="s">
        <v>1396</v>
      </c>
      <c r="J214" s="0" t="s">
        <v>1397</v>
      </c>
      <c r="K214" s="0" t="s">
        <v>50</v>
      </c>
      <c r="L214" s="0" t="str">
        <f aca="false">HYPERLINK("https://www.ncbi.nlm.nih.gov/snp/rs114347906", "rs114347906")</f>
        <v>rs114347906</v>
      </c>
      <c r="M214" s="0" t="str">
        <f aca="false">HYPERLINK("https://www.genecards.org/Search/Keyword?queryString=%5Baliases%5D(%20TTC27%20)&amp;keywords=TTC27", "TTC27")</f>
        <v>TTC27</v>
      </c>
      <c r="N214" s="0" t="s">
        <v>80</v>
      </c>
      <c r="O214" s="0" t="s">
        <v>50</v>
      </c>
      <c r="P214" s="0" t="s">
        <v>50</v>
      </c>
      <c r="Q214" s="0" t="n">
        <v>0.025</v>
      </c>
      <c r="R214" s="0" t="n">
        <v>0.0221</v>
      </c>
      <c r="S214" s="0" t="n">
        <v>0.0253</v>
      </c>
      <c r="T214" s="0" t="n">
        <v>-1</v>
      </c>
      <c r="U214" s="0" t="n">
        <v>0.0194</v>
      </c>
      <c r="V214" s="0" t="s">
        <v>50</v>
      </c>
      <c r="W214" s="0" t="s">
        <v>50</v>
      </c>
      <c r="X214" s="0" t="s">
        <v>81</v>
      </c>
      <c r="Y214" s="0" t="s">
        <v>82</v>
      </c>
      <c r="Z214" s="0" t="s">
        <v>50</v>
      </c>
      <c r="AA214" s="0" t="s">
        <v>50</v>
      </c>
      <c r="AB214" s="0" t="s">
        <v>50</v>
      </c>
      <c r="AC214" s="0" t="s">
        <v>53</v>
      </c>
      <c r="AD214" s="0" t="s">
        <v>54</v>
      </c>
      <c r="AE214" s="0" t="s">
        <v>1398</v>
      </c>
      <c r="AF214" s="0" t="s">
        <v>1399</v>
      </c>
      <c r="AG214" s="0" t="s">
        <v>50</v>
      </c>
      <c r="AH214" s="0" t="s">
        <v>50</v>
      </c>
      <c r="AI214" s="0" t="s">
        <v>50</v>
      </c>
      <c r="AJ214" s="0" t="s">
        <v>50</v>
      </c>
      <c r="AK214" s="0" t="s">
        <v>50</v>
      </c>
      <c r="AL214" s="0" t="s">
        <v>50</v>
      </c>
    </row>
    <row r="215" customFormat="false" ht="13.8" hidden="false" customHeight="false" outlineLevel="0" collapsed="false">
      <c r="B215" s="0" t="str">
        <f aca="false">HYPERLINK("https://genome.ucsc.edu/cgi-bin/hgTracks?db=hg19&amp;position=chr2%3A43937724%2D43937728", "chr2:43937724")</f>
        <v>chr2:43937724</v>
      </c>
      <c r="C215" s="0" t="s">
        <v>258</v>
      </c>
      <c r="D215" s="0" t="n">
        <v>43937724</v>
      </c>
      <c r="E215" s="0" t="n">
        <v>43937728</v>
      </c>
      <c r="F215" s="0" t="s">
        <v>1400</v>
      </c>
      <c r="G215" s="0" t="s">
        <v>308</v>
      </c>
      <c r="H215" s="0" t="s">
        <v>1401</v>
      </c>
      <c r="I215" s="0" t="s">
        <v>1402</v>
      </c>
      <c r="J215" s="0" t="s">
        <v>1403</v>
      </c>
      <c r="K215" s="0" t="s">
        <v>50</v>
      </c>
      <c r="L215" s="0" t="str">
        <f aca="false">HYPERLINK("https://www.ncbi.nlm.nih.gov/snp/rs768447579", "rs768447579")</f>
        <v>rs768447579</v>
      </c>
      <c r="M215" s="0" t="str">
        <f aca="false">HYPERLINK("https://www.genecards.org/Search/Keyword?queryString=%5Baliases%5D(%20PLEKHH2%20)&amp;keywords=PLEKHH2", "PLEKHH2")</f>
        <v>PLEKHH2</v>
      </c>
      <c r="N215" s="0" t="s">
        <v>691</v>
      </c>
      <c r="O215" s="0" t="s">
        <v>312</v>
      </c>
      <c r="P215" s="0" t="s">
        <v>1404</v>
      </c>
      <c r="Q215" s="0" t="n">
        <v>0.0003299</v>
      </c>
      <c r="R215" s="0" t="n">
        <v>-1</v>
      </c>
      <c r="S215" s="0" t="n">
        <v>-1</v>
      </c>
      <c r="T215" s="0" t="n">
        <v>-1</v>
      </c>
      <c r="U215" s="0" t="n">
        <v>-1</v>
      </c>
      <c r="V215" s="0" t="s">
        <v>50</v>
      </c>
      <c r="W215" s="0" t="s">
        <v>50</v>
      </c>
      <c r="X215" s="0" t="s">
        <v>50</v>
      </c>
      <c r="Y215" s="0" t="s">
        <v>50</v>
      </c>
      <c r="Z215" s="0" t="s">
        <v>50</v>
      </c>
      <c r="AA215" s="0" t="s">
        <v>50</v>
      </c>
      <c r="AB215" s="0" t="s">
        <v>50</v>
      </c>
      <c r="AC215" s="0" t="s">
        <v>53</v>
      </c>
      <c r="AD215" s="0" t="s">
        <v>54</v>
      </c>
      <c r="AE215" s="0" t="s">
        <v>1405</v>
      </c>
      <c r="AF215" s="0" t="s">
        <v>1406</v>
      </c>
      <c r="AG215" s="0" t="s">
        <v>1407</v>
      </c>
      <c r="AH215" s="0" t="s">
        <v>50</v>
      </c>
      <c r="AI215" s="0" t="s">
        <v>50</v>
      </c>
      <c r="AJ215" s="0" t="s">
        <v>50</v>
      </c>
      <c r="AK215" s="0" t="s">
        <v>50</v>
      </c>
      <c r="AL215" s="0" t="s">
        <v>50</v>
      </c>
    </row>
    <row r="216" customFormat="false" ht="13.8" hidden="false" customHeight="false" outlineLevel="0" collapsed="false">
      <c r="B216" s="0" t="str">
        <f aca="false">HYPERLINK("https://genome.ucsc.edu/cgi-bin/hgTracks?db=hg19&amp;position=chr2%3A74086287%2D74086287", "chr2:74086287")</f>
        <v>chr2:74086287</v>
      </c>
      <c r="C216" s="0" t="s">
        <v>258</v>
      </c>
      <c r="D216" s="0" t="n">
        <v>74086287</v>
      </c>
      <c r="E216" s="0" t="n">
        <v>74086287</v>
      </c>
      <c r="F216" s="0" t="s">
        <v>40</v>
      </c>
      <c r="G216" s="0" t="s">
        <v>74</v>
      </c>
      <c r="H216" s="0" t="s">
        <v>1408</v>
      </c>
      <c r="I216" s="0" t="s">
        <v>61</v>
      </c>
      <c r="J216" s="0" t="s">
        <v>1409</v>
      </c>
      <c r="K216" s="0" t="s">
        <v>50</v>
      </c>
      <c r="L216" s="0" t="str">
        <f aca="false">HYPERLINK("https://www.ncbi.nlm.nih.gov/snp/rs76305876", "rs76305876")</f>
        <v>rs76305876</v>
      </c>
      <c r="M216" s="0" t="str">
        <f aca="false">HYPERLINK("https://www.genecards.org/Search/Keyword?queryString=%5Baliases%5D(%20STAMBP%20)&amp;keywords=STAMBP", "STAMBP")</f>
        <v>STAMBP</v>
      </c>
      <c r="N216" s="0" t="s">
        <v>80</v>
      </c>
      <c r="O216" s="0" t="s">
        <v>50</v>
      </c>
      <c r="P216" s="0" t="s">
        <v>50</v>
      </c>
      <c r="Q216" s="0" t="n">
        <v>0.0081</v>
      </c>
      <c r="R216" s="0" t="n">
        <v>0.0078</v>
      </c>
      <c r="S216" s="0" t="n">
        <v>0.0081</v>
      </c>
      <c r="T216" s="0" t="n">
        <v>-1</v>
      </c>
      <c r="U216" s="0" t="n">
        <v>0.0063</v>
      </c>
      <c r="V216" s="0" t="s">
        <v>50</v>
      </c>
      <c r="W216" s="0" t="s">
        <v>50</v>
      </c>
      <c r="X216" s="0" t="s">
        <v>81</v>
      </c>
      <c r="Y216" s="0" t="s">
        <v>82</v>
      </c>
      <c r="Z216" s="0" t="s">
        <v>50</v>
      </c>
      <c r="AA216" s="0" t="s">
        <v>50</v>
      </c>
      <c r="AB216" s="0" t="s">
        <v>50</v>
      </c>
      <c r="AC216" s="0" t="s">
        <v>53</v>
      </c>
      <c r="AD216" s="0" t="s">
        <v>54</v>
      </c>
      <c r="AE216" s="0" t="s">
        <v>1410</v>
      </c>
      <c r="AF216" s="0" t="s">
        <v>1411</v>
      </c>
      <c r="AG216" s="0" t="s">
        <v>1412</v>
      </c>
      <c r="AH216" s="0" t="s">
        <v>1413</v>
      </c>
      <c r="AI216" s="0" t="s">
        <v>50</v>
      </c>
      <c r="AJ216" s="0" t="s">
        <v>50</v>
      </c>
      <c r="AK216" s="0" t="s">
        <v>50</v>
      </c>
      <c r="AL216" s="0" t="s">
        <v>50</v>
      </c>
    </row>
    <row r="217" customFormat="false" ht="13.8" hidden="false" customHeight="false" outlineLevel="0" collapsed="false">
      <c r="B217" s="0" t="str">
        <f aca="false">HYPERLINK("https://genome.ucsc.edu/cgi-bin/hgTracks?db=hg19&amp;position=chr2%3A84955194%2D84955194", "chr2:84955194")</f>
        <v>chr2:84955194</v>
      </c>
      <c r="C217" s="0" t="s">
        <v>258</v>
      </c>
      <c r="D217" s="0" t="n">
        <v>84955194</v>
      </c>
      <c r="E217" s="0" t="n">
        <v>84955194</v>
      </c>
      <c r="F217" s="0" t="s">
        <v>75</v>
      </c>
      <c r="G217" s="0" t="s">
        <v>74</v>
      </c>
      <c r="H217" s="0" t="s">
        <v>1414</v>
      </c>
      <c r="I217" s="0" t="s">
        <v>1052</v>
      </c>
      <c r="J217" s="0" t="s">
        <v>1415</v>
      </c>
      <c r="K217" s="0" t="s">
        <v>50</v>
      </c>
      <c r="L217" s="0" t="s">
        <v>50</v>
      </c>
      <c r="M217" s="0" t="str">
        <f aca="false">HYPERLINK("https://www.genecards.org/Search/Keyword?queryString=%5Baliases%5D(%20DNAH6%20)&amp;keywords=DNAH6", "DNAH6")</f>
        <v>DNAH6</v>
      </c>
      <c r="N217" s="0" t="s">
        <v>80</v>
      </c>
      <c r="O217" s="0" t="s">
        <v>50</v>
      </c>
      <c r="P217" s="0" t="s">
        <v>50</v>
      </c>
      <c r="Q217" s="0" t="n">
        <v>-1</v>
      </c>
      <c r="R217" s="0" t="n">
        <v>-1</v>
      </c>
      <c r="S217" s="0" t="n">
        <v>-1</v>
      </c>
      <c r="T217" s="0" t="n">
        <v>-1</v>
      </c>
      <c r="U217" s="0" t="n">
        <v>-1</v>
      </c>
      <c r="V217" s="0" t="s">
        <v>50</v>
      </c>
      <c r="W217" s="0" t="s">
        <v>50</v>
      </c>
      <c r="X217" s="0" t="s">
        <v>49</v>
      </c>
      <c r="Y217" s="0" t="s">
        <v>82</v>
      </c>
      <c r="Z217" s="0" t="s">
        <v>50</v>
      </c>
      <c r="AA217" s="0" t="s">
        <v>50</v>
      </c>
      <c r="AB217" s="0" t="s">
        <v>50</v>
      </c>
      <c r="AC217" s="0" t="s">
        <v>53</v>
      </c>
      <c r="AD217" s="0" t="s">
        <v>54</v>
      </c>
      <c r="AE217" s="0" t="s">
        <v>1416</v>
      </c>
      <c r="AF217" s="0" t="s">
        <v>1417</v>
      </c>
      <c r="AG217" s="0" t="s">
        <v>1418</v>
      </c>
      <c r="AH217" s="0" t="s">
        <v>50</v>
      </c>
      <c r="AI217" s="0" t="s">
        <v>50</v>
      </c>
      <c r="AJ217" s="0" t="s">
        <v>50</v>
      </c>
      <c r="AK217" s="0" t="s">
        <v>50</v>
      </c>
      <c r="AL217" s="0" t="s">
        <v>50</v>
      </c>
    </row>
    <row r="218" customFormat="false" ht="13.8" hidden="false" customHeight="false" outlineLevel="0" collapsed="false">
      <c r="B218" s="0" t="str">
        <f aca="false">HYPERLINK("https://genome.ucsc.edu/cgi-bin/hgTracks?db=hg19&amp;position=chr2%3A85866557%2D85866557", "chr2:85866557")</f>
        <v>chr2:85866557</v>
      </c>
      <c r="C218" s="0" t="s">
        <v>258</v>
      </c>
      <c r="D218" s="0" t="n">
        <v>85866557</v>
      </c>
      <c r="E218" s="0" t="n">
        <v>85866557</v>
      </c>
      <c r="F218" s="0" t="s">
        <v>40</v>
      </c>
      <c r="G218" s="0" t="s">
        <v>75</v>
      </c>
      <c r="H218" s="0" t="s">
        <v>1419</v>
      </c>
      <c r="I218" s="0" t="s">
        <v>1420</v>
      </c>
      <c r="J218" s="0" t="s">
        <v>1421</v>
      </c>
      <c r="K218" s="0" t="s">
        <v>50</v>
      </c>
      <c r="L218" s="0" t="str">
        <f aca="false">HYPERLINK("https://www.ncbi.nlm.nih.gov/snp/rs76800443", "rs76800443")</f>
        <v>rs76800443</v>
      </c>
      <c r="M218" s="0" t="str">
        <f aca="false">HYPERLINK("https://www.genecards.org/Search/Keyword?queryString=%5Baliases%5D(%20USP39%20)&amp;keywords=USP39", "USP39")</f>
        <v>USP39</v>
      </c>
      <c r="N218" s="0" t="s">
        <v>80</v>
      </c>
      <c r="O218" s="0" t="s">
        <v>50</v>
      </c>
      <c r="P218" s="0" t="s">
        <v>50</v>
      </c>
      <c r="Q218" s="0" t="n">
        <v>0.0243</v>
      </c>
      <c r="R218" s="0" t="n">
        <v>0.0104</v>
      </c>
      <c r="S218" s="0" t="n">
        <v>0.0108</v>
      </c>
      <c r="T218" s="0" t="n">
        <v>-1</v>
      </c>
      <c r="U218" s="0" t="n">
        <v>0.0082</v>
      </c>
      <c r="V218" s="0" t="s">
        <v>50</v>
      </c>
      <c r="W218" s="0" t="s">
        <v>50</v>
      </c>
      <c r="X218" s="0" t="s">
        <v>81</v>
      </c>
      <c r="Y218" s="0" t="s">
        <v>82</v>
      </c>
      <c r="Z218" s="0" t="s">
        <v>50</v>
      </c>
      <c r="AA218" s="0" t="s">
        <v>50</v>
      </c>
      <c r="AB218" s="0" t="s">
        <v>50</v>
      </c>
      <c r="AC218" s="0" t="s">
        <v>53</v>
      </c>
      <c r="AD218" s="0" t="s">
        <v>54</v>
      </c>
      <c r="AE218" s="0" t="s">
        <v>1422</v>
      </c>
      <c r="AF218" s="0" t="s">
        <v>1423</v>
      </c>
      <c r="AG218" s="0" t="s">
        <v>1424</v>
      </c>
      <c r="AH218" s="0" t="s">
        <v>50</v>
      </c>
      <c r="AI218" s="0" t="s">
        <v>50</v>
      </c>
      <c r="AJ218" s="0" t="s">
        <v>50</v>
      </c>
      <c r="AK218" s="0" t="s">
        <v>50</v>
      </c>
      <c r="AL218" s="0" t="s">
        <v>50</v>
      </c>
    </row>
    <row r="219" customFormat="false" ht="13.8" hidden="false" customHeight="false" outlineLevel="0" collapsed="false">
      <c r="B219" s="0" t="str">
        <f aca="false">HYPERLINK("https://genome.ucsc.edu/cgi-bin/hgTracks?db=hg19&amp;position=chr2%3A89102229%2D89102229", "chr2:89102229")</f>
        <v>chr2:89102229</v>
      </c>
      <c r="C219" s="0" t="s">
        <v>258</v>
      </c>
      <c r="D219" s="0" t="n">
        <v>89102229</v>
      </c>
      <c r="E219" s="0" t="n">
        <v>89102229</v>
      </c>
      <c r="F219" s="0" t="s">
        <v>74</v>
      </c>
      <c r="G219" s="0" t="s">
        <v>75</v>
      </c>
      <c r="H219" s="0" t="s">
        <v>1425</v>
      </c>
      <c r="I219" s="0" t="s">
        <v>1426</v>
      </c>
      <c r="J219" s="0" t="s">
        <v>1427</v>
      </c>
      <c r="K219" s="0" t="s">
        <v>50</v>
      </c>
      <c r="L219" s="0" t="str">
        <f aca="false">HYPERLINK("https://www.ncbi.nlm.nih.gov/snp/rs112683162", "rs112683162")</f>
        <v>rs112683162</v>
      </c>
      <c r="M219" s="0" t="str">
        <f aca="false">HYPERLINK("https://www.genecards.org/Search/Keyword?queryString=%5Baliases%5D(%20ANKRD36BP2%20)&amp;keywords=ANKRD36BP2", "ANKRD36BP2")</f>
        <v>ANKRD36BP2</v>
      </c>
      <c r="N219" s="0" t="s">
        <v>1428</v>
      </c>
      <c r="O219" s="0" t="s">
        <v>50</v>
      </c>
      <c r="P219" s="0" t="s">
        <v>1429</v>
      </c>
      <c r="Q219" s="0" t="n">
        <v>0.0210927</v>
      </c>
      <c r="R219" s="0" t="n">
        <v>0.0057</v>
      </c>
      <c r="S219" s="0" t="n">
        <v>0.0017</v>
      </c>
      <c r="T219" s="0" t="n">
        <v>-1</v>
      </c>
      <c r="U219" s="0" t="n">
        <v>0.0044</v>
      </c>
      <c r="V219" s="0" t="s">
        <v>50</v>
      </c>
      <c r="W219" s="0" t="s">
        <v>50</v>
      </c>
      <c r="X219" s="0" t="s">
        <v>50</v>
      </c>
      <c r="Y219" s="0" t="s">
        <v>50</v>
      </c>
      <c r="Z219" s="0" t="s">
        <v>50</v>
      </c>
      <c r="AA219" s="0" t="s">
        <v>50</v>
      </c>
      <c r="AB219" s="0" t="s">
        <v>50</v>
      </c>
      <c r="AC219" s="0" t="s">
        <v>53</v>
      </c>
      <c r="AD219" s="0" t="s">
        <v>54</v>
      </c>
      <c r="AE219" s="0" t="s">
        <v>50</v>
      </c>
      <c r="AF219" s="0" t="s">
        <v>1430</v>
      </c>
      <c r="AG219" s="0" t="s">
        <v>50</v>
      </c>
      <c r="AH219" s="0" t="s">
        <v>50</v>
      </c>
      <c r="AI219" s="0" t="s">
        <v>632</v>
      </c>
      <c r="AJ219" s="0" t="s">
        <v>50</v>
      </c>
      <c r="AK219" s="0" t="s">
        <v>50</v>
      </c>
      <c r="AL219" s="0" t="s">
        <v>50</v>
      </c>
    </row>
    <row r="220" customFormat="false" ht="13.8" hidden="false" customHeight="false" outlineLevel="0" collapsed="false">
      <c r="B220" s="0" t="str">
        <f aca="false">HYPERLINK("https://genome.ucsc.edu/cgi-bin/hgTracks?db=hg19&amp;position=chr2%3A96519559%2D96519562", "chr2:96519559")</f>
        <v>chr2:96519559</v>
      </c>
      <c r="C220" s="0" t="s">
        <v>258</v>
      </c>
      <c r="D220" s="0" t="n">
        <v>96519559</v>
      </c>
      <c r="E220" s="0" t="n">
        <v>96519562</v>
      </c>
      <c r="F220" s="0" t="s">
        <v>1431</v>
      </c>
      <c r="G220" s="0" t="s">
        <v>308</v>
      </c>
      <c r="H220" s="0" t="s">
        <v>1432</v>
      </c>
      <c r="I220" s="0" t="s">
        <v>1433</v>
      </c>
      <c r="J220" s="0" t="s">
        <v>1434</v>
      </c>
      <c r="K220" s="0" t="s">
        <v>50</v>
      </c>
      <c r="L220" s="0" t="str">
        <f aca="false">HYPERLINK("https://www.ncbi.nlm.nih.gov/snp/rs373126569", "rs373126569")</f>
        <v>rs373126569</v>
      </c>
      <c r="M220" s="0" t="str">
        <f aca="false">HYPERLINK("https://www.genecards.org/Search/Keyword?queryString=%5Baliases%5D(%20ANKRD36C%20)&amp;keywords=ANKRD36C", "ANKRD36C")</f>
        <v>ANKRD36C</v>
      </c>
      <c r="N220" s="0" t="s">
        <v>478</v>
      </c>
      <c r="O220" s="0" t="s">
        <v>312</v>
      </c>
      <c r="P220" s="0" t="s">
        <v>1435</v>
      </c>
      <c r="Q220" s="0" t="n">
        <v>0.0006015</v>
      </c>
      <c r="R220" s="0" t="n">
        <v>-1</v>
      </c>
      <c r="S220" s="0" t="n">
        <v>-1</v>
      </c>
      <c r="T220" s="0" t="n">
        <v>-1</v>
      </c>
      <c r="U220" s="0" t="n">
        <v>-1</v>
      </c>
      <c r="V220" s="0" t="s">
        <v>50</v>
      </c>
      <c r="W220" s="0" t="s">
        <v>50</v>
      </c>
      <c r="X220" s="0" t="s">
        <v>50</v>
      </c>
      <c r="Y220" s="0" t="s">
        <v>50</v>
      </c>
      <c r="Z220" s="0" t="s">
        <v>50</v>
      </c>
      <c r="AA220" s="0" t="s">
        <v>50</v>
      </c>
      <c r="AB220" s="0" t="s">
        <v>50</v>
      </c>
      <c r="AC220" s="0" t="s">
        <v>53</v>
      </c>
      <c r="AD220" s="0" t="s">
        <v>480</v>
      </c>
      <c r="AE220" s="0" t="s">
        <v>50</v>
      </c>
      <c r="AF220" s="0" t="s">
        <v>481</v>
      </c>
      <c r="AG220" s="0" t="s">
        <v>50</v>
      </c>
      <c r="AH220" s="0" t="s">
        <v>50</v>
      </c>
      <c r="AI220" s="0" t="s">
        <v>50</v>
      </c>
      <c r="AJ220" s="0" t="s">
        <v>50</v>
      </c>
      <c r="AK220" s="0" t="s">
        <v>50</v>
      </c>
      <c r="AL220" s="0" t="s">
        <v>50</v>
      </c>
    </row>
    <row r="221" customFormat="false" ht="13.8" hidden="false" customHeight="false" outlineLevel="0" collapsed="false">
      <c r="B221" s="0" t="str">
        <f aca="false">HYPERLINK("https://genome.ucsc.edu/cgi-bin/hgTracks?db=hg19&amp;position=chr2%3A96521245%2D96521248", "chr2:96521245")</f>
        <v>chr2:96521245</v>
      </c>
      <c r="C221" s="0" t="s">
        <v>258</v>
      </c>
      <c r="D221" s="0" t="n">
        <v>96521245</v>
      </c>
      <c r="E221" s="0" t="n">
        <v>96521248</v>
      </c>
      <c r="F221" s="0" t="s">
        <v>1436</v>
      </c>
      <c r="G221" s="0" t="s">
        <v>308</v>
      </c>
      <c r="H221" s="0" t="s">
        <v>1437</v>
      </c>
      <c r="I221" s="0" t="s">
        <v>1438</v>
      </c>
      <c r="J221" s="0" t="s">
        <v>1439</v>
      </c>
      <c r="K221" s="0" t="s">
        <v>50</v>
      </c>
      <c r="L221" s="0" t="str">
        <f aca="false">HYPERLINK("https://www.ncbi.nlm.nih.gov/snp/rs200875477", "rs200875477")</f>
        <v>rs200875477</v>
      </c>
      <c r="M221" s="0" t="str">
        <f aca="false">HYPERLINK("https://www.genecards.org/Search/Keyword?queryString=%5Baliases%5D(%20ANKRD36C%20)&amp;keywords=ANKRD36C", "ANKRD36C")</f>
        <v>ANKRD36C</v>
      </c>
      <c r="N221" s="0" t="s">
        <v>485</v>
      </c>
      <c r="O221" s="0" t="s">
        <v>312</v>
      </c>
      <c r="P221" s="0" t="s">
        <v>1440</v>
      </c>
      <c r="Q221" s="0" t="n">
        <v>6.5E-006</v>
      </c>
      <c r="R221" s="0" t="n">
        <v>-1</v>
      </c>
      <c r="S221" s="0" t="n">
        <v>-1</v>
      </c>
      <c r="T221" s="0" t="n">
        <v>-1</v>
      </c>
      <c r="U221" s="0" t="n">
        <v>-1</v>
      </c>
      <c r="V221" s="0" t="s">
        <v>50</v>
      </c>
      <c r="W221" s="0" t="s">
        <v>50</v>
      </c>
      <c r="X221" s="0" t="s">
        <v>50</v>
      </c>
      <c r="Y221" s="0" t="s">
        <v>50</v>
      </c>
      <c r="Z221" s="0" t="s">
        <v>50</v>
      </c>
      <c r="AA221" s="0" t="s">
        <v>50</v>
      </c>
      <c r="AB221" s="0" t="s">
        <v>50</v>
      </c>
      <c r="AC221" s="0" t="s">
        <v>53</v>
      </c>
      <c r="AD221" s="0" t="s">
        <v>480</v>
      </c>
      <c r="AE221" s="0" t="s">
        <v>50</v>
      </c>
      <c r="AF221" s="0" t="s">
        <v>481</v>
      </c>
      <c r="AG221" s="0" t="s">
        <v>50</v>
      </c>
      <c r="AH221" s="0" t="s">
        <v>50</v>
      </c>
      <c r="AI221" s="0" t="s">
        <v>50</v>
      </c>
      <c r="AJ221" s="0" t="s">
        <v>50</v>
      </c>
      <c r="AK221" s="0" t="s">
        <v>50</v>
      </c>
      <c r="AL221" s="0" t="s">
        <v>50</v>
      </c>
    </row>
    <row r="222" customFormat="false" ht="13.8" hidden="false" customHeight="false" outlineLevel="0" collapsed="false">
      <c r="B222" s="0" t="str">
        <f aca="false">HYPERLINK("https://genome.ucsc.edu/cgi-bin/hgTracks?db=hg19&amp;position=chr2%3A96521448%2D96521448", "chr2:96521448")</f>
        <v>chr2:96521448</v>
      </c>
      <c r="C222" s="0" t="s">
        <v>258</v>
      </c>
      <c r="D222" s="0" t="n">
        <v>96521448</v>
      </c>
      <c r="E222" s="0" t="n">
        <v>96521448</v>
      </c>
      <c r="F222" s="0" t="s">
        <v>308</v>
      </c>
      <c r="G222" s="0" t="s">
        <v>75</v>
      </c>
      <c r="H222" s="0" t="s">
        <v>1441</v>
      </c>
      <c r="I222" s="0" t="s">
        <v>1442</v>
      </c>
      <c r="J222" s="0" t="s">
        <v>1443</v>
      </c>
      <c r="K222" s="0" t="s">
        <v>50</v>
      </c>
      <c r="L222" s="0" t="str">
        <f aca="false">HYPERLINK("https://www.ncbi.nlm.nih.gov/snp/rs113448291", "rs113448291")</f>
        <v>rs113448291</v>
      </c>
      <c r="M222" s="0" t="str">
        <f aca="false">HYPERLINK("https://www.genecards.org/Search/Keyword?queryString=%5Baliases%5D(%20ANKRD36C%20)&amp;keywords=ANKRD36C", "ANKRD36C")</f>
        <v>ANKRD36C</v>
      </c>
      <c r="N222" s="0" t="s">
        <v>485</v>
      </c>
      <c r="O222" s="0" t="s">
        <v>93</v>
      </c>
      <c r="P222" s="0" t="s">
        <v>1444</v>
      </c>
      <c r="Q222" s="0" t="n">
        <v>0.0008215</v>
      </c>
      <c r="R222" s="0" t="n">
        <v>-1</v>
      </c>
      <c r="S222" s="0" t="n">
        <v>-1</v>
      </c>
      <c r="T222" s="0" t="n">
        <v>-1</v>
      </c>
      <c r="U222" s="0" t="n">
        <v>-1</v>
      </c>
      <c r="V222" s="0" t="s">
        <v>50</v>
      </c>
      <c r="W222" s="0" t="s">
        <v>50</v>
      </c>
      <c r="X222" s="0" t="s">
        <v>50</v>
      </c>
      <c r="Y222" s="0" t="s">
        <v>50</v>
      </c>
      <c r="Z222" s="0" t="s">
        <v>50</v>
      </c>
      <c r="AA222" s="0" t="s">
        <v>50</v>
      </c>
      <c r="AB222" s="0" t="s">
        <v>50</v>
      </c>
      <c r="AC222" s="0" t="s">
        <v>53</v>
      </c>
      <c r="AD222" s="0" t="s">
        <v>480</v>
      </c>
      <c r="AE222" s="0" t="s">
        <v>50</v>
      </c>
      <c r="AF222" s="0" t="s">
        <v>481</v>
      </c>
      <c r="AG222" s="0" t="s">
        <v>50</v>
      </c>
      <c r="AH222" s="0" t="s">
        <v>50</v>
      </c>
      <c r="AI222" s="0" t="s">
        <v>50</v>
      </c>
      <c r="AJ222" s="0" t="s">
        <v>50</v>
      </c>
      <c r="AK222" s="0" t="s">
        <v>50</v>
      </c>
      <c r="AL222" s="0" t="s">
        <v>50</v>
      </c>
    </row>
    <row r="223" customFormat="false" ht="13.8" hidden="false" customHeight="false" outlineLevel="0" collapsed="false">
      <c r="B223" s="0" t="str">
        <f aca="false">HYPERLINK("https://genome.ucsc.edu/cgi-bin/hgTracks?db=hg19&amp;position=chr2%3A96521477%2D96521477", "chr2:96521477")</f>
        <v>chr2:96521477</v>
      </c>
      <c r="C223" s="0" t="s">
        <v>258</v>
      </c>
      <c r="D223" s="0" t="n">
        <v>96521477</v>
      </c>
      <c r="E223" s="0" t="n">
        <v>96521477</v>
      </c>
      <c r="F223" s="0" t="s">
        <v>308</v>
      </c>
      <c r="G223" s="0" t="s">
        <v>74</v>
      </c>
      <c r="H223" s="0" t="s">
        <v>1445</v>
      </c>
      <c r="I223" s="0" t="s">
        <v>1446</v>
      </c>
      <c r="J223" s="0" t="s">
        <v>1447</v>
      </c>
      <c r="K223" s="0" t="s">
        <v>50</v>
      </c>
      <c r="L223" s="0" t="s">
        <v>50</v>
      </c>
      <c r="M223" s="0" t="str">
        <f aca="false">HYPERLINK("https://www.genecards.org/Search/Keyword?queryString=%5Baliases%5D(%20ANKRD36C%20)&amp;keywords=ANKRD36C", "ANKRD36C")</f>
        <v>ANKRD36C</v>
      </c>
      <c r="N223" s="0" t="s">
        <v>485</v>
      </c>
      <c r="O223" s="0" t="s">
        <v>323</v>
      </c>
      <c r="P223" s="0" t="s">
        <v>1448</v>
      </c>
      <c r="Q223" s="0" t="n">
        <v>-1</v>
      </c>
      <c r="R223" s="0" t="n">
        <v>-1</v>
      </c>
      <c r="S223" s="0" t="n">
        <v>-1</v>
      </c>
      <c r="T223" s="0" t="n">
        <v>-1</v>
      </c>
      <c r="U223" s="0" t="n">
        <v>-1</v>
      </c>
      <c r="V223" s="0" t="s">
        <v>50</v>
      </c>
      <c r="W223" s="0" t="s">
        <v>50</v>
      </c>
      <c r="X223" s="0" t="s">
        <v>50</v>
      </c>
      <c r="Y223" s="0" t="s">
        <v>50</v>
      </c>
      <c r="Z223" s="0" t="s">
        <v>50</v>
      </c>
      <c r="AA223" s="0" t="s">
        <v>50</v>
      </c>
      <c r="AB223" s="0" t="s">
        <v>50</v>
      </c>
      <c r="AC223" s="0" t="s">
        <v>53</v>
      </c>
      <c r="AD223" s="0" t="s">
        <v>480</v>
      </c>
      <c r="AE223" s="0" t="s">
        <v>50</v>
      </c>
      <c r="AF223" s="0" t="s">
        <v>481</v>
      </c>
      <c r="AG223" s="0" t="s">
        <v>50</v>
      </c>
      <c r="AH223" s="0" t="s">
        <v>50</v>
      </c>
      <c r="AI223" s="0" t="s">
        <v>50</v>
      </c>
      <c r="AJ223" s="0" t="s">
        <v>50</v>
      </c>
      <c r="AK223" s="0" t="s">
        <v>50</v>
      </c>
      <c r="AL223" s="0" t="s">
        <v>50</v>
      </c>
    </row>
    <row r="224" customFormat="false" ht="13.8" hidden="false" customHeight="false" outlineLevel="0" collapsed="false">
      <c r="B224" s="0" t="str">
        <f aca="false">HYPERLINK("https://genome.ucsc.edu/cgi-bin/hgTracks?db=hg19&amp;position=chr2%3A96521479%2D96521479", "chr2:96521479")</f>
        <v>chr2:96521479</v>
      </c>
      <c r="C224" s="0" t="s">
        <v>258</v>
      </c>
      <c r="D224" s="0" t="n">
        <v>96521479</v>
      </c>
      <c r="E224" s="0" t="n">
        <v>96521479</v>
      </c>
      <c r="F224" s="0" t="s">
        <v>308</v>
      </c>
      <c r="G224" s="0" t="s">
        <v>40</v>
      </c>
      <c r="H224" s="0" t="s">
        <v>1449</v>
      </c>
      <c r="I224" s="0" t="s">
        <v>1450</v>
      </c>
      <c r="J224" s="0" t="s">
        <v>1451</v>
      </c>
      <c r="K224" s="0" t="s">
        <v>50</v>
      </c>
      <c r="L224" s="0" t="s">
        <v>50</v>
      </c>
      <c r="M224" s="0" t="str">
        <f aca="false">HYPERLINK("https://www.genecards.org/Search/Keyword?queryString=%5Baliases%5D(%20ANKRD36C%20)&amp;keywords=ANKRD36C", "ANKRD36C")</f>
        <v>ANKRD36C</v>
      </c>
      <c r="N224" s="0" t="s">
        <v>485</v>
      </c>
      <c r="O224" s="0" t="s">
        <v>323</v>
      </c>
      <c r="P224" s="0" t="s">
        <v>1452</v>
      </c>
      <c r="Q224" s="0" t="n">
        <v>-1</v>
      </c>
      <c r="R224" s="0" t="n">
        <v>-1</v>
      </c>
      <c r="S224" s="0" t="n">
        <v>-1</v>
      </c>
      <c r="T224" s="0" t="n">
        <v>-1</v>
      </c>
      <c r="U224" s="0" t="n">
        <v>-1</v>
      </c>
      <c r="V224" s="0" t="s">
        <v>50</v>
      </c>
      <c r="W224" s="0" t="s">
        <v>50</v>
      </c>
      <c r="X224" s="0" t="s">
        <v>50</v>
      </c>
      <c r="Y224" s="0" t="s">
        <v>50</v>
      </c>
      <c r="Z224" s="0" t="s">
        <v>50</v>
      </c>
      <c r="AA224" s="0" t="s">
        <v>50</v>
      </c>
      <c r="AB224" s="0" t="s">
        <v>50</v>
      </c>
      <c r="AC224" s="0" t="s">
        <v>53</v>
      </c>
      <c r="AD224" s="0" t="s">
        <v>480</v>
      </c>
      <c r="AE224" s="0" t="s">
        <v>50</v>
      </c>
      <c r="AF224" s="0" t="s">
        <v>481</v>
      </c>
      <c r="AG224" s="0" t="s">
        <v>50</v>
      </c>
      <c r="AH224" s="0" t="s">
        <v>50</v>
      </c>
      <c r="AI224" s="0" t="s">
        <v>50</v>
      </c>
      <c r="AJ224" s="0" t="s">
        <v>50</v>
      </c>
      <c r="AK224" s="0" t="s">
        <v>50</v>
      </c>
      <c r="AL224" s="0" t="s">
        <v>50</v>
      </c>
    </row>
    <row r="225" customFormat="false" ht="13.8" hidden="false" customHeight="false" outlineLevel="0" collapsed="false">
      <c r="B225" s="0" t="str">
        <f aca="false">HYPERLINK("https://genome.ucsc.edu/cgi-bin/hgTracks?db=hg19&amp;position=chr2%3A96521483%2D96521484", "chr2:96521483")</f>
        <v>chr2:96521483</v>
      </c>
      <c r="C225" s="0" t="s">
        <v>258</v>
      </c>
      <c r="D225" s="0" t="n">
        <v>96521483</v>
      </c>
      <c r="E225" s="0" t="n">
        <v>96521484</v>
      </c>
      <c r="F225" s="0" t="s">
        <v>1453</v>
      </c>
      <c r="G225" s="0" t="s">
        <v>308</v>
      </c>
      <c r="H225" s="0" t="s">
        <v>1454</v>
      </c>
      <c r="I225" s="0" t="s">
        <v>1455</v>
      </c>
      <c r="J225" s="0" t="s">
        <v>1456</v>
      </c>
      <c r="K225" s="0" t="s">
        <v>50</v>
      </c>
      <c r="L225" s="0" t="s">
        <v>50</v>
      </c>
      <c r="M225" s="0" t="str">
        <f aca="false">HYPERLINK("https://www.genecards.org/Search/Keyword?queryString=%5Baliases%5D(%20ANKRD36C%20)&amp;keywords=ANKRD36C", "ANKRD36C")</f>
        <v>ANKRD36C</v>
      </c>
      <c r="N225" s="0" t="s">
        <v>485</v>
      </c>
      <c r="O225" s="0" t="s">
        <v>312</v>
      </c>
      <c r="P225" s="0" t="s">
        <v>1457</v>
      </c>
      <c r="Q225" s="0" t="n">
        <v>-1</v>
      </c>
      <c r="R225" s="0" t="n">
        <v>-1</v>
      </c>
      <c r="S225" s="0" t="n">
        <v>-1</v>
      </c>
      <c r="T225" s="0" t="n">
        <v>-1</v>
      </c>
      <c r="U225" s="0" t="n">
        <v>-1</v>
      </c>
      <c r="V225" s="0" t="s">
        <v>50</v>
      </c>
      <c r="W225" s="0" t="s">
        <v>50</v>
      </c>
      <c r="X225" s="0" t="s">
        <v>50</v>
      </c>
      <c r="Y225" s="0" t="s">
        <v>50</v>
      </c>
      <c r="Z225" s="0" t="s">
        <v>50</v>
      </c>
      <c r="AA225" s="0" t="s">
        <v>50</v>
      </c>
      <c r="AB225" s="0" t="s">
        <v>50</v>
      </c>
      <c r="AC225" s="0" t="s">
        <v>53</v>
      </c>
      <c r="AD225" s="0" t="s">
        <v>480</v>
      </c>
      <c r="AE225" s="0" t="s">
        <v>50</v>
      </c>
      <c r="AF225" s="0" t="s">
        <v>481</v>
      </c>
      <c r="AG225" s="0" t="s">
        <v>50</v>
      </c>
      <c r="AH225" s="0" t="s">
        <v>50</v>
      </c>
      <c r="AI225" s="0" t="s">
        <v>50</v>
      </c>
      <c r="AJ225" s="0" t="s">
        <v>50</v>
      </c>
      <c r="AK225" s="0" t="s">
        <v>50</v>
      </c>
      <c r="AL225" s="0" t="s">
        <v>50</v>
      </c>
    </row>
    <row r="226" customFormat="false" ht="13.8" hidden="false" customHeight="false" outlineLevel="0" collapsed="false">
      <c r="B226" s="0" t="str">
        <f aca="false">HYPERLINK("https://genome.ucsc.edu/cgi-bin/hgTracks?db=hg19&amp;position=chr2%3A96521487%2D96521487", "chr2:96521487")</f>
        <v>chr2:96521487</v>
      </c>
      <c r="C226" s="0" t="s">
        <v>258</v>
      </c>
      <c r="D226" s="0" t="n">
        <v>96521487</v>
      </c>
      <c r="E226" s="0" t="n">
        <v>96521487</v>
      </c>
      <c r="F226" s="0" t="s">
        <v>308</v>
      </c>
      <c r="G226" s="0" t="s">
        <v>1458</v>
      </c>
      <c r="H226" s="0" t="s">
        <v>1459</v>
      </c>
      <c r="I226" s="0" t="s">
        <v>1460</v>
      </c>
      <c r="J226" s="0" t="s">
        <v>1461</v>
      </c>
      <c r="K226" s="0" t="s">
        <v>50</v>
      </c>
      <c r="L226" s="0" t="s">
        <v>50</v>
      </c>
      <c r="M226" s="0" t="str">
        <f aca="false">HYPERLINK("https://www.genecards.org/Search/Keyword?queryString=%5Baliases%5D(%20ANKRD36C%20)&amp;keywords=ANKRD36C", "ANKRD36C")</f>
        <v>ANKRD36C</v>
      </c>
      <c r="N226" s="0" t="s">
        <v>485</v>
      </c>
      <c r="O226" s="0" t="s">
        <v>323</v>
      </c>
      <c r="P226" s="0" t="s">
        <v>1462</v>
      </c>
      <c r="Q226" s="0" t="n">
        <v>-1</v>
      </c>
      <c r="R226" s="0" t="n">
        <v>-1</v>
      </c>
      <c r="S226" s="0" t="n">
        <v>-1</v>
      </c>
      <c r="T226" s="0" t="n">
        <v>-1</v>
      </c>
      <c r="U226" s="0" t="n">
        <v>-1</v>
      </c>
      <c r="V226" s="0" t="s">
        <v>50</v>
      </c>
      <c r="W226" s="0" t="s">
        <v>50</v>
      </c>
      <c r="X226" s="0" t="s">
        <v>50</v>
      </c>
      <c r="Y226" s="0" t="s">
        <v>50</v>
      </c>
      <c r="Z226" s="0" t="s">
        <v>50</v>
      </c>
      <c r="AA226" s="0" t="s">
        <v>50</v>
      </c>
      <c r="AB226" s="0" t="s">
        <v>50</v>
      </c>
      <c r="AC226" s="0" t="s">
        <v>53</v>
      </c>
      <c r="AD226" s="0" t="s">
        <v>480</v>
      </c>
      <c r="AE226" s="0" t="s">
        <v>50</v>
      </c>
      <c r="AF226" s="0" t="s">
        <v>481</v>
      </c>
      <c r="AG226" s="0" t="s">
        <v>50</v>
      </c>
      <c r="AH226" s="0" t="s">
        <v>50</v>
      </c>
      <c r="AI226" s="0" t="s">
        <v>50</v>
      </c>
      <c r="AJ226" s="0" t="s">
        <v>50</v>
      </c>
      <c r="AK226" s="0" t="s">
        <v>50</v>
      </c>
      <c r="AL226" s="0" t="s">
        <v>50</v>
      </c>
    </row>
    <row r="227" customFormat="false" ht="13.8" hidden="false" customHeight="false" outlineLevel="0" collapsed="false">
      <c r="B227" s="0" t="str">
        <f aca="false">HYPERLINK("https://genome.ucsc.edu/cgi-bin/hgTracks?db=hg19&amp;position=chr2%3A96578299%2D96578299", "chr2:96578299")</f>
        <v>chr2:96578299</v>
      </c>
      <c r="C227" s="0" t="s">
        <v>258</v>
      </c>
      <c r="D227" s="0" t="n">
        <v>96578299</v>
      </c>
      <c r="E227" s="0" t="n">
        <v>96578299</v>
      </c>
      <c r="F227" s="0" t="s">
        <v>74</v>
      </c>
      <c r="G227" s="0" t="s">
        <v>39</v>
      </c>
      <c r="H227" s="0" t="s">
        <v>1463</v>
      </c>
      <c r="I227" s="0" t="s">
        <v>1096</v>
      </c>
      <c r="J227" s="0" t="s">
        <v>1464</v>
      </c>
      <c r="K227" s="0" t="s">
        <v>50</v>
      </c>
      <c r="L227" s="0" t="str">
        <f aca="false">HYPERLINK("https://www.ncbi.nlm.nih.gov/snp/rs192151889", "rs192151889")</f>
        <v>rs192151889</v>
      </c>
      <c r="M227" s="0" t="str">
        <f aca="false">HYPERLINK("https://www.genecards.org/Search/Keyword?queryString=%5Baliases%5D(%20ANKRD36C%20)&amp;keywords=ANKRD36C", "ANKRD36C")</f>
        <v>ANKRD36C</v>
      </c>
      <c r="N227" s="0" t="s">
        <v>1465</v>
      </c>
      <c r="O227" s="0" t="s">
        <v>50</v>
      </c>
      <c r="P227" s="0" t="s">
        <v>1466</v>
      </c>
      <c r="Q227" s="0" t="n">
        <v>0.0024</v>
      </c>
      <c r="R227" s="0" t="n">
        <v>0.0025</v>
      </c>
      <c r="S227" s="0" t="n">
        <v>0.0018</v>
      </c>
      <c r="T227" s="0" t="n">
        <v>-1</v>
      </c>
      <c r="U227" s="0" t="n">
        <v>-1</v>
      </c>
      <c r="V227" s="0" t="s">
        <v>50</v>
      </c>
      <c r="W227" s="0" t="s">
        <v>50</v>
      </c>
      <c r="X227" s="0" t="s">
        <v>81</v>
      </c>
      <c r="Y227" s="0" t="s">
        <v>82</v>
      </c>
      <c r="Z227" s="0" t="s">
        <v>50</v>
      </c>
      <c r="AA227" s="0" t="s">
        <v>50</v>
      </c>
      <c r="AB227" s="0" t="s">
        <v>50</v>
      </c>
      <c r="AC227" s="0" t="s">
        <v>53</v>
      </c>
      <c r="AD227" s="0" t="s">
        <v>480</v>
      </c>
      <c r="AE227" s="0" t="s">
        <v>50</v>
      </c>
      <c r="AF227" s="0" t="s">
        <v>481</v>
      </c>
      <c r="AG227" s="0" t="s">
        <v>50</v>
      </c>
      <c r="AH227" s="0" t="s">
        <v>50</v>
      </c>
      <c r="AI227" s="0" t="s">
        <v>50</v>
      </c>
      <c r="AJ227" s="0" t="s">
        <v>50</v>
      </c>
      <c r="AK227" s="0" t="s">
        <v>50</v>
      </c>
      <c r="AL227" s="0" t="s">
        <v>50</v>
      </c>
    </row>
    <row r="228" customFormat="false" ht="13.8" hidden="false" customHeight="false" outlineLevel="0" collapsed="false">
      <c r="B228" s="0" t="str">
        <f aca="false">HYPERLINK("https://genome.ucsc.edu/cgi-bin/hgTracks?db=hg19&amp;position=chr2%3A118743472%2D118743472", "chr2:118743472")</f>
        <v>chr2:118743472</v>
      </c>
      <c r="C228" s="0" t="s">
        <v>258</v>
      </c>
      <c r="D228" s="0" t="n">
        <v>118743472</v>
      </c>
      <c r="E228" s="0" t="n">
        <v>118743472</v>
      </c>
      <c r="F228" s="0" t="s">
        <v>74</v>
      </c>
      <c r="G228" s="0" t="s">
        <v>39</v>
      </c>
      <c r="H228" s="0" t="s">
        <v>1467</v>
      </c>
      <c r="I228" s="0" t="s">
        <v>613</v>
      </c>
      <c r="J228" s="0" t="s">
        <v>1468</v>
      </c>
      <c r="K228" s="0" t="s">
        <v>50</v>
      </c>
      <c r="L228" s="0" t="str">
        <f aca="false">HYPERLINK("https://www.ncbi.nlm.nih.gov/snp/rs144980415", "rs144980415")</f>
        <v>rs144980415</v>
      </c>
      <c r="M228" s="0" t="str">
        <f aca="false">HYPERLINK("https://www.genecards.org/Search/Keyword?queryString=%5Baliases%5D(%20CCDC93%20)&amp;keywords=CCDC93", "CCDC93")</f>
        <v>CCDC93</v>
      </c>
      <c r="N228" s="0" t="s">
        <v>80</v>
      </c>
      <c r="O228" s="0" t="s">
        <v>50</v>
      </c>
      <c r="P228" s="0" t="s">
        <v>50</v>
      </c>
      <c r="Q228" s="0" t="n">
        <v>0.0118</v>
      </c>
      <c r="R228" s="0" t="n">
        <v>0.0042</v>
      </c>
      <c r="S228" s="0" t="n">
        <v>0.0045</v>
      </c>
      <c r="T228" s="0" t="n">
        <v>-1</v>
      </c>
      <c r="U228" s="0" t="n">
        <v>0.0038</v>
      </c>
      <c r="V228" s="0" t="s">
        <v>50</v>
      </c>
      <c r="W228" s="0" t="s">
        <v>50</v>
      </c>
      <c r="X228" s="0" t="s">
        <v>49</v>
      </c>
      <c r="Y228" s="0" t="s">
        <v>82</v>
      </c>
      <c r="Z228" s="0" t="s">
        <v>50</v>
      </c>
      <c r="AA228" s="0" t="s">
        <v>50</v>
      </c>
      <c r="AB228" s="0" t="s">
        <v>50</v>
      </c>
      <c r="AC228" s="0" t="s">
        <v>53</v>
      </c>
      <c r="AD228" s="0" t="s">
        <v>54</v>
      </c>
      <c r="AE228" s="0" t="s">
        <v>1469</v>
      </c>
      <c r="AF228" s="0" t="s">
        <v>1470</v>
      </c>
      <c r="AG228" s="0" t="s">
        <v>1471</v>
      </c>
      <c r="AH228" s="0" t="s">
        <v>50</v>
      </c>
      <c r="AI228" s="0" t="s">
        <v>50</v>
      </c>
      <c r="AJ228" s="0" t="s">
        <v>50</v>
      </c>
      <c r="AK228" s="0" t="s">
        <v>50</v>
      </c>
      <c r="AL228" s="0" t="s">
        <v>50</v>
      </c>
    </row>
    <row r="229" customFormat="false" ht="13.8" hidden="false" customHeight="false" outlineLevel="0" collapsed="false">
      <c r="B229" s="0" t="str">
        <f aca="false">HYPERLINK("https://genome.ucsc.edu/cgi-bin/hgTracks?db=hg19&amp;position=chr2%3A128389504%2D128389504", "chr2:128389504")</f>
        <v>chr2:128389504</v>
      </c>
      <c r="C229" s="0" t="s">
        <v>258</v>
      </c>
      <c r="D229" s="0" t="n">
        <v>128389504</v>
      </c>
      <c r="E229" s="0" t="n">
        <v>128389504</v>
      </c>
      <c r="F229" s="0" t="s">
        <v>74</v>
      </c>
      <c r="G229" s="0" t="s">
        <v>75</v>
      </c>
      <c r="H229" s="0" t="s">
        <v>1472</v>
      </c>
      <c r="I229" s="0" t="s">
        <v>721</v>
      </c>
      <c r="J229" s="0" t="s">
        <v>936</v>
      </c>
      <c r="K229" s="0" t="s">
        <v>50</v>
      </c>
      <c r="L229" s="0" t="str">
        <f aca="false">HYPERLINK("https://www.ncbi.nlm.nih.gov/snp/rs186719086", "rs186719086")</f>
        <v>rs186719086</v>
      </c>
      <c r="M229" s="0" t="str">
        <f aca="false">HYPERLINK("https://www.genecards.org/Search/Keyword?queryString=%5Baliases%5D(%20MYO7B%20)&amp;keywords=MYO7B", "MYO7B")</f>
        <v>MYO7B</v>
      </c>
      <c r="N229" s="0" t="s">
        <v>80</v>
      </c>
      <c r="O229" s="0" t="s">
        <v>50</v>
      </c>
      <c r="P229" s="0" t="s">
        <v>50</v>
      </c>
      <c r="Q229" s="0" t="n">
        <v>0.0072</v>
      </c>
      <c r="R229" s="0" t="n">
        <v>0.0045</v>
      </c>
      <c r="S229" s="0" t="n">
        <v>0.0053</v>
      </c>
      <c r="T229" s="0" t="n">
        <v>-1</v>
      </c>
      <c r="U229" s="0" t="n">
        <v>0.0047</v>
      </c>
      <c r="V229" s="0" t="s">
        <v>50</v>
      </c>
      <c r="W229" s="0" t="s">
        <v>50</v>
      </c>
      <c r="X229" s="0" t="s">
        <v>49</v>
      </c>
      <c r="Y229" s="0" t="s">
        <v>82</v>
      </c>
      <c r="Z229" s="0" t="s">
        <v>50</v>
      </c>
      <c r="AA229" s="0" t="s">
        <v>50</v>
      </c>
      <c r="AB229" s="0" t="s">
        <v>50</v>
      </c>
      <c r="AC229" s="0" t="s">
        <v>53</v>
      </c>
      <c r="AD229" s="0" t="s">
        <v>54</v>
      </c>
      <c r="AE229" s="0" t="s">
        <v>1473</v>
      </c>
      <c r="AF229" s="0" t="s">
        <v>1474</v>
      </c>
      <c r="AG229" s="0" t="s">
        <v>1475</v>
      </c>
      <c r="AH229" s="0" t="s">
        <v>50</v>
      </c>
      <c r="AI229" s="0" t="s">
        <v>50</v>
      </c>
      <c r="AJ229" s="0" t="s">
        <v>50</v>
      </c>
      <c r="AK229" s="0" t="s">
        <v>50</v>
      </c>
      <c r="AL229" s="0" t="s">
        <v>50</v>
      </c>
    </row>
    <row r="230" customFormat="false" ht="13.8" hidden="false" customHeight="false" outlineLevel="0" collapsed="false">
      <c r="B230" s="0" t="str">
        <f aca="false">HYPERLINK("https://genome.ucsc.edu/cgi-bin/hgTracks?db=hg19&amp;position=chr2%3A131377416%2D131377416", "chr2:131377416")</f>
        <v>chr2:131377416</v>
      </c>
      <c r="C230" s="0" t="s">
        <v>258</v>
      </c>
      <c r="D230" s="0" t="n">
        <v>131377416</v>
      </c>
      <c r="E230" s="0" t="n">
        <v>131377416</v>
      </c>
      <c r="F230" s="0" t="s">
        <v>40</v>
      </c>
      <c r="G230" s="0" t="s">
        <v>74</v>
      </c>
      <c r="H230" s="0" t="s">
        <v>1143</v>
      </c>
      <c r="I230" s="0" t="s">
        <v>1476</v>
      </c>
      <c r="J230" s="0" t="s">
        <v>1477</v>
      </c>
      <c r="K230" s="0" t="s">
        <v>50</v>
      </c>
      <c r="L230" s="0" t="s">
        <v>50</v>
      </c>
      <c r="M230" s="0" t="str">
        <f aca="false">HYPERLINK("https://www.genecards.org/Search/Keyword?queryString=%5Baliases%5D(%20POTEJ%20)&amp;keywords=POTEJ", "POTEJ")</f>
        <v>POTEJ</v>
      </c>
      <c r="N230" s="0" t="s">
        <v>80</v>
      </c>
      <c r="O230" s="0" t="s">
        <v>50</v>
      </c>
      <c r="P230" s="0" t="s">
        <v>50</v>
      </c>
      <c r="Q230" s="0" t="n">
        <v>0.0287</v>
      </c>
      <c r="R230" s="0" t="n">
        <v>0.0162</v>
      </c>
      <c r="S230" s="0" t="n">
        <v>0.0167</v>
      </c>
      <c r="T230" s="0" t="n">
        <v>-1</v>
      </c>
      <c r="U230" s="0" t="n">
        <v>0.0133</v>
      </c>
      <c r="V230" s="0" t="s">
        <v>50</v>
      </c>
      <c r="W230" s="0" t="s">
        <v>50</v>
      </c>
      <c r="X230" s="0" t="s">
        <v>49</v>
      </c>
      <c r="Y230" s="0" t="s">
        <v>82</v>
      </c>
      <c r="Z230" s="0" t="s">
        <v>50</v>
      </c>
      <c r="AA230" s="0" t="s">
        <v>50</v>
      </c>
      <c r="AB230" s="0" t="s">
        <v>50</v>
      </c>
      <c r="AC230" s="0" t="s">
        <v>53</v>
      </c>
      <c r="AD230" s="0" t="s">
        <v>54</v>
      </c>
      <c r="AE230" s="0" t="s">
        <v>50</v>
      </c>
      <c r="AF230" s="0" t="s">
        <v>1478</v>
      </c>
      <c r="AG230" s="0" t="s">
        <v>50</v>
      </c>
      <c r="AH230" s="0" t="s">
        <v>50</v>
      </c>
      <c r="AI230" s="0" t="s">
        <v>50</v>
      </c>
      <c r="AJ230" s="0" t="s">
        <v>50</v>
      </c>
      <c r="AK230" s="0" t="s">
        <v>50</v>
      </c>
      <c r="AL230" s="0" t="s">
        <v>50</v>
      </c>
    </row>
    <row r="231" customFormat="false" ht="13.8" hidden="false" customHeight="false" outlineLevel="0" collapsed="false">
      <c r="B231" s="0" t="str">
        <f aca="false">HYPERLINK("https://genome.ucsc.edu/cgi-bin/hgTracks?db=hg19&amp;position=chr2%3A132912398%2D132912398", "chr2:132912398")</f>
        <v>chr2:132912398</v>
      </c>
      <c r="C231" s="0" t="s">
        <v>258</v>
      </c>
      <c r="D231" s="0" t="n">
        <v>132912398</v>
      </c>
      <c r="E231" s="0" t="n">
        <v>132912398</v>
      </c>
      <c r="F231" s="0" t="s">
        <v>40</v>
      </c>
      <c r="G231" s="0" t="s">
        <v>39</v>
      </c>
      <c r="H231" s="0" t="s">
        <v>1479</v>
      </c>
      <c r="I231" s="0" t="s">
        <v>643</v>
      </c>
      <c r="J231" s="0" t="s">
        <v>1480</v>
      </c>
      <c r="K231" s="0" t="s">
        <v>50</v>
      </c>
      <c r="L231" s="0" t="str">
        <f aca="false">HYPERLINK("https://www.ncbi.nlm.nih.gov/snp/rs200274266", "rs200274266")</f>
        <v>rs200274266</v>
      </c>
      <c r="M231" s="0" t="str">
        <f aca="false">HYPERLINK("https://www.genecards.org/Search/Keyword?queryString=%5Baliases%5D(%20ANKRD30BL%20)&amp;keywords=ANKRD30BL", "ANKRD30BL")</f>
        <v>ANKRD30BL</v>
      </c>
      <c r="N231" s="0" t="s">
        <v>347</v>
      </c>
      <c r="O231" s="0" t="s">
        <v>50</v>
      </c>
      <c r="P231" s="0" t="s">
        <v>50</v>
      </c>
      <c r="Q231" s="0" t="n">
        <v>0.0251</v>
      </c>
      <c r="R231" s="0" t="n">
        <v>0.0045</v>
      </c>
      <c r="S231" s="0" t="n">
        <v>0.0043</v>
      </c>
      <c r="T231" s="0" t="n">
        <v>-1</v>
      </c>
      <c r="U231" s="0" t="n">
        <v>0.006</v>
      </c>
      <c r="V231" s="0" t="s">
        <v>50</v>
      </c>
      <c r="W231" s="0" t="s">
        <v>50</v>
      </c>
      <c r="X231" s="0" t="s">
        <v>49</v>
      </c>
      <c r="Y231" s="0" t="s">
        <v>82</v>
      </c>
      <c r="Z231" s="0" t="s">
        <v>50</v>
      </c>
      <c r="AA231" s="0" t="s">
        <v>50</v>
      </c>
      <c r="AB231" s="0" t="s">
        <v>50</v>
      </c>
      <c r="AC231" s="0" t="s">
        <v>53</v>
      </c>
      <c r="AD231" s="0" t="s">
        <v>54</v>
      </c>
      <c r="AE231" s="0" t="s">
        <v>50</v>
      </c>
      <c r="AF231" s="0" t="s">
        <v>1481</v>
      </c>
      <c r="AG231" s="0" t="s">
        <v>50</v>
      </c>
      <c r="AH231" s="0" t="s">
        <v>50</v>
      </c>
      <c r="AI231" s="0" t="s">
        <v>50</v>
      </c>
      <c r="AJ231" s="0" t="s">
        <v>50</v>
      </c>
      <c r="AK231" s="0" t="s">
        <v>50</v>
      </c>
      <c r="AL231" s="0" t="s">
        <v>50</v>
      </c>
    </row>
    <row r="232" customFormat="false" ht="13.8" hidden="false" customHeight="false" outlineLevel="0" collapsed="false">
      <c r="B232" s="0" t="str">
        <f aca="false">HYPERLINK("https://genome.ucsc.edu/cgi-bin/hgTracks?db=hg19&amp;position=chr2%3A169952053%2D169952053", "chr2:169952053")</f>
        <v>chr2:169952053</v>
      </c>
      <c r="C232" s="0" t="s">
        <v>258</v>
      </c>
      <c r="D232" s="0" t="n">
        <v>169952053</v>
      </c>
      <c r="E232" s="0" t="n">
        <v>169952053</v>
      </c>
      <c r="F232" s="0" t="s">
        <v>74</v>
      </c>
      <c r="G232" s="0" t="s">
        <v>39</v>
      </c>
      <c r="H232" s="0" t="s">
        <v>1482</v>
      </c>
      <c r="I232" s="0" t="s">
        <v>1483</v>
      </c>
      <c r="J232" s="0" t="s">
        <v>1484</v>
      </c>
      <c r="K232" s="0" t="s">
        <v>50</v>
      </c>
      <c r="L232" s="0" t="str">
        <f aca="false">HYPERLINK("https://www.ncbi.nlm.nih.gov/snp/rs144812455", "rs144812455")</f>
        <v>rs144812455</v>
      </c>
      <c r="M232" s="0" t="str">
        <f aca="false">HYPERLINK("https://www.genecards.org/Search/Keyword?queryString=%5Baliases%5D(%20DHRS9%20)&amp;keywords=DHRS9", "DHRS9")</f>
        <v>DHRS9</v>
      </c>
      <c r="N232" s="0" t="s">
        <v>64</v>
      </c>
      <c r="O232" s="0" t="s">
        <v>50</v>
      </c>
      <c r="P232" s="0" t="s">
        <v>1485</v>
      </c>
      <c r="Q232" s="0" t="n">
        <v>0.0064</v>
      </c>
      <c r="R232" s="0" t="n">
        <v>0.0041</v>
      </c>
      <c r="S232" s="0" t="n">
        <v>0.003</v>
      </c>
      <c r="T232" s="0" t="n">
        <v>-1</v>
      </c>
      <c r="U232" s="0" t="n">
        <v>0.0055</v>
      </c>
      <c r="V232" s="0" t="s">
        <v>66</v>
      </c>
      <c r="W232" s="0" t="s">
        <v>49</v>
      </c>
      <c r="X232" s="0" t="s">
        <v>50</v>
      </c>
      <c r="Y232" s="0" t="s">
        <v>50</v>
      </c>
      <c r="Z232" s="0" t="s">
        <v>143</v>
      </c>
      <c r="AA232" s="0" t="s">
        <v>50</v>
      </c>
      <c r="AB232" s="0" t="s">
        <v>50</v>
      </c>
      <c r="AC232" s="0" t="s">
        <v>53</v>
      </c>
      <c r="AD232" s="0" t="s">
        <v>54</v>
      </c>
      <c r="AE232" s="0" t="s">
        <v>1486</v>
      </c>
      <c r="AF232" s="0" t="s">
        <v>1487</v>
      </c>
      <c r="AG232" s="0" t="s">
        <v>1488</v>
      </c>
      <c r="AH232" s="0" t="s">
        <v>50</v>
      </c>
      <c r="AI232" s="0" t="s">
        <v>50</v>
      </c>
      <c r="AJ232" s="0" t="s">
        <v>50</v>
      </c>
      <c r="AK232" s="0" t="s">
        <v>50</v>
      </c>
      <c r="AL232" s="0" t="s">
        <v>50</v>
      </c>
    </row>
    <row r="233" customFormat="false" ht="13.8" hidden="false" customHeight="false" outlineLevel="0" collapsed="false">
      <c r="B233" s="0" t="str">
        <f aca="false">HYPERLINK("https://genome.ucsc.edu/cgi-bin/hgTracks?db=hg19&amp;position=chr2%3A175614910%2D175614911", "chr2:175614910")</f>
        <v>chr2:175614910</v>
      </c>
      <c r="C233" s="0" t="s">
        <v>258</v>
      </c>
      <c r="D233" s="0" t="n">
        <v>175614910</v>
      </c>
      <c r="E233" s="0" t="n">
        <v>175614911</v>
      </c>
      <c r="F233" s="0" t="s">
        <v>725</v>
      </c>
      <c r="G233" s="0" t="s">
        <v>308</v>
      </c>
      <c r="H233" s="0" t="s">
        <v>1489</v>
      </c>
      <c r="I233" s="0" t="s">
        <v>1115</v>
      </c>
      <c r="J233" s="0" t="s">
        <v>1490</v>
      </c>
      <c r="K233" s="0" t="s">
        <v>50</v>
      </c>
      <c r="L233" s="0" t="s">
        <v>50</v>
      </c>
      <c r="M233" s="0" t="str">
        <f aca="false">HYPERLINK("https://www.genecards.org/Search/Keyword?queryString=%5Baliases%5D(%20BC046497%20)%20OR%20%5Baliases%5D(%20CHRNA1%20)&amp;keywords=BC046497,CHRNA1", "BC046497;CHRNA1")</f>
        <v>BC046497;CHRNA1</v>
      </c>
      <c r="N233" s="0" t="s">
        <v>347</v>
      </c>
      <c r="O233" s="0" t="s">
        <v>50</v>
      </c>
      <c r="P233" s="0" t="s">
        <v>50</v>
      </c>
      <c r="Q233" s="0" t="n">
        <v>-1</v>
      </c>
      <c r="R233" s="0" t="n">
        <v>-1</v>
      </c>
      <c r="S233" s="0" t="n">
        <v>-1</v>
      </c>
      <c r="T233" s="0" t="n">
        <v>-1</v>
      </c>
      <c r="U233" s="0" t="n">
        <v>-1</v>
      </c>
      <c r="V233" s="0" t="s">
        <v>50</v>
      </c>
      <c r="W233" s="0" t="s">
        <v>50</v>
      </c>
      <c r="X233" s="0" t="s">
        <v>50</v>
      </c>
      <c r="Y233" s="0" t="s">
        <v>50</v>
      </c>
      <c r="Z233" s="0" t="s">
        <v>50</v>
      </c>
      <c r="AA233" s="0" t="s">
        <v>50</v>
      </c>
      <c r="AB233" s="0" t="s">
        <v>50</v>
      </c>
      <c r="AC233" s="0" t="s">
        <v>455</v>
      </c>
      <c r="AD233" s="0" t="s">
        <v>157</v>
      </c>
      <c r="AE233" s="0" t="s">
        <v>1491</v>
      </c>
      <c r="AF233" s="0" t="s">
        <v>1492</v>
      </c>
      <c r="AG233" s="0" t="s">
        <v>1493</v>
      </c>
      <c r="AH233" s="0" t="s">
        <v>1494</v>
      </c>
      <c r="AI233" s="0" t="s">
        <v>50</v>
      </c>
      <c r="AJ233" s="0" t="s">
        <v>50</v>
      </c>
      <c r="AK233" s="0" t="s">
        <v>50</v>
      </c>
      <c r="AL233" s="0" t="s">
        <v>50</v>
      </c>
    </row>
    <row r="234" customFormat="false" ht="13.8" hidden="false" customHeight="false" outlineLevel="0" collapsed="false">
      <c r="B234" s="0" t="str">
        <f aca="false">HYPERLINK("https://genome.ucsc.edu/cgi-bin/hgTracks?db=hg19&amp;position=chr2%3A178545660%2D178545660", "chr2:178545660")</f>
        <v>chr2:178545660</v>
      </c>
      <c r="C234" s="0" t="s">
        <v>258</v>
      </c>
      <c r="D234" s="0" t="n">
        <v>178545660</v>
      </c>
      <c r="E234" s="0" t="n">
        <v>178545660</v>
      </c>
      <c r="F234" s="0" t="s">
        <v>308</v>
      </c>
      <c r="G234" s="0" t="s">
        <v>75</v>
      </c>
      <c r="H234" s="0" t="s">
        <v>1495</v>
      </c>
      <c r="I234" s="0" t="s">
        <v>835</v>
      </c>
      <c r="J234" s="0" t="s">
        <v>1496</v>
      </c>
      <c r="K234" s="0" t="s">
        <v>50</v>
      </c>
      <c r="L234" s="0" t="str">
        <f aca="false">HYPERLINK("https://www.ncbi.nlm.nih.gov/snp/rs771996924", "rs771996924")</f>
        <v>rs771996924</v>
      </c>
      <c r="M234" s="0" t="str">
        <f aca="false">HYPERLINK("https://www.genecards.org/Search/Keyword?queryString=%5Baliases%5D(%20LOC105373764%20)%20OR%20%5Baliases%5D(%20PDE11A%20)&amp;keywords=LOC105373764,PDE11A", "LOC105373764;PDE11A")</f>
        <v>LOC105373764;PDE11A</v>
      </c>
      <c r="N234" s="0" t="s">
        <v>347</v>
      </c>
      <c r="O234" s="0" t="s">
        <v>50</v>
      </c>
      <c r="P234" s="0" t="s">
        <v>50</v>
      </c>
      <c r="Q234" s="0" t="n">
        <v>0.0203</v>
      </c>
      <c r="R234" s="0" t="n">
        <v>0.0034</v>
      </c>
      <c r="S234" s="0" t="n">
        <v>0.0033</v>
      </c>
      <c r="T234" s="0" t="n">
        <v>-1</v>
      </c>
      <c r="U234" s="0" t="n">
        <v>0.0026</v>
      </c>
      <c r="V234" s="0" t="s">
        <v>50</v>
      </c>
      <c r="W234" s="0" t="s">
        <v>50</v>
      </c>
      <c r="X234" s="0" t="s">
        <v>50</v>
      </c>
      <c r="Y234" s="0" t="s">
        <v>50</v>
      </c>
      <c r="Z234" s="0" t="s">
        <v>50</v>
      </c>
      <c r="AA234" s="0" t="s">
        <v>50</v>
      </c>
      <c r="AB234" s="0" t="s">
        <v>50</v>
      </c>
      <c r="AC234" s="0" t="s">
        <v>53</v>
      </c>
      <c r="AD234" s="0" t="s">
        <v>1497</v>
      </c>
      <c r="AE234" s="0" t="s">
        <v>1498</v>
      </c>
      <c r="AF234" s="0" t="s">
        <v>1499</v>
      </c>
      <c r="AG234" s="0" t="s">
        <v>1500</v>
      </c>
      <c r="AH234" s="0" t="s">
        <v>1501</v>
      </c>
      <c r="AI234" s="0" t="s">
        <v>632</v>
      </c>
      <c r="AJ234" s="0" t="s">
        <v>50</v>
      </c>
      <c r="AK234" s="0" t="s">
        <v>50</v>
      </c>
      <c r="AL234" s="0" t="s">
        <v>50</v>
      </c>
    </row>
    <row r="235" customFormat="false" ht="13.8" hidden="false" customHeight="false" outlineLevel="0" collapsed="false">
      <c r="B235" s="0" t="str">
        <f aca="false">HYPERLINK("https://genome.ucsc.edu/cgi-bin/hgTracks?db=hg19&amp;position=chr2%3A178970365%2D178970365", "chr2:178970365")</f>
        <v>chr2:178970365</v>
      </c>
      <c r="C235" s="0" t="s">
        <v>258</v>
      </c>
      <c r="D235" s="0" t="n">
        <v>178970365</v>
      </c>
      <c r="E235" s="0" t="n">
        <v>178970365</v>
      </c>
      <c r="F235" s="0" t="s">
        <v>74</v>
      </c>
      <c r="G235" s="0" t="s">
        <v>75</v>
      </c>
      <c r="H235" s="0" t="s">
        <v>1502</v>
      </c>
      <c r="I235" s="0" t="s">
        <v>1066</v>
      </c>
      <c r="J235" s="0" t="s">
        <v>1503</v>
      </c>
      <c r="K235" s="0" t="s">
        <v>50</v>
      </c>
      <c r="L235" s="0" t="str">
        <f aca="false">HYPERLINK("https://www.ncbi.nlm.nih.gov/snp/rs7574081", "rs7574081")</f>
        <v>rs7574081</v>
      </c>
      <c r="M235" s="0" t="str">
        <f aca="false">HYPERLINK("https://www.genecards.org/Search/Keyword?queryString=%5Baliases%5D(%20PDE11A%20)&amp;keywords=PDE11A", "PDE11A")</f>
        <v>PDE11A</v>
      </c>
      <c r="N235" s="0" t="s">
        <v>390</v>
      </c>
      <c r="O235" s="0" t="s">
        <v>50</v>
      </c>
      <c r="P235" s="0" t="s">
        <v>50</v>
      </c>
      <c r="Q235" s="0" t="n">
        <v>0.0036</v>
      </c>
      <c r="R235" s="0" t="n">
        <v>0.0036</v>
      </c>
      <c r="S235" s="0" t="n">
        <v>0.0035</v>
      </c>
      <c r="T235" s="0" t="n">
        <v>-1</v>
      </c>
      <c r="U235" s="0" t="n">
        <v>0.0035</v>
      </c>
      <c r="V235" s="0" t="s">
        <v>50</v>
      </c>
      <c r="W235" s="0" t="s">
        <v>50</v>
      </c>
      <c r="X235" s="0" t="s">
        <v>50</v>
      </c>
      <c r="Y235" s="0" t="s">
        <v>50</v>
      </c>
      <c r="Z235" s="0" t="s">
        <v>50</v>
      </c>
      <c r="AA235" s="0" t="s">
        <v>50</v>
      </c>
      <c r="AB235" s="0" t="s">
        <v>50</v>
      </c>
      <c r="AC235" s="0" t="s">
        <v>53</v>
      </c>
      <c r="AD235" s="0" t="s">
        <v>226</v>
      </c>
      <c r="AE235" s="0" t="s">
        <v>1498</v>
      </c>
      <c r="AF235" s="0" t="s">
        <v>1499</v>
      </c>
      <c r="AG235" s="0" t="s">
        <v>1500</v>
      </c>
      <c r="AH235" s="0" t="s">
        <v>1501</v>
      </c>
      <c r="AI235" s="0" t="s">
        <v>50</v>
      </c>
      <c r="AJ235" s="0" t="s">
        <v>50</v>
      </c>
      <c r="AK235" s="0" t="s">
        <v>50</v>
      </c>
      <c r="AL235" s="0" t="s">
        <v>50</v>
      </c>
    </row>
    <row r="236" s="2" customFormat="true" ht="13.8" hidden="false" customHeight="false" outlineLevel="0" collapsed="false">
      <c r="B236" s="2" t="str">
        <f aca="false">HYPERLINK("https://genome.ucsc.edu/cgi-bin/hgTracks?db=hg19&amp;position=chr2%3A179553731%2D179553732", "chr2:179553731")</f>
        <v>chr2:179553731</v>
      </c>
      <c r="C236" s="2" t="s">
        <v>258</v>
      </c>
      <c r="D236" s="2" t="n">
        <v>179553731</v>
      </c>
      <c r="E236" s="2" t="n">
        <v>179553732</v>
      </c>
      <c r="F236" s="2" t="s">
        <v>1504</v>
      </c>
      <c r="G236" s="2" t="s">
        <v>308</v>
      </c>
      <c r="H236" s="2" t="s">
        <v>1505</v>
      </c>
      <c r="I236" s="2" t="s">
        <v>1506</v>
      </c>
      <c r="J236" s="2" t="s">
        <v>1507</v>
      </c>
      <c r="K236" s="2" t="s">
        <v>50</v>
      </c>
      <c r="L236" s="2" t="str">
        <f aca="false">HYPERLINK("https://www.ncbi.nlm.nih.gov/snp/rs749800402", "rs749800402")</f>
        <v>rs749800402</v>
      </c>
      <c r="M236" s="2" t="str">
        <f aca="false">HYPERLINK("https://www.genecards.org/Search/Keyword?queryString=%5Baliases%5D(%20TTN%20)&amp;keywords=TTN", "TTN")</f>
        <v>TTN</v>
      </c>
      <c r="N236" s="2" t="s">
        <v>347</v>
      </c>
      <c r="O236" s="2" t="s">
        <v>50</v>
      </c>
      <c r="P236" s="2" t="s">
        <v>50</v>
      </c>
      <c r="Q236" s="2" t="n">
        <v>0.0001294</v>
      </c>
      <c r="R236" s="2" t="n">
        <v>-1</v>
      </c>
      <c r="S236" s="2" t="n">
        <v>-1</v>
      </c>
      <c r="T236" s="2" t="n">
        <v>-1</v>
      </c>
      <c r="U236" s="2" t="n">
        <v>-1</v>
      </c>
      <c r="V236" s="2" t="s">
        <v>50</v>
      </c>
      <c r="W236" s="2" t="s">
        <v>50</v>
      </c>
      <c r="X236" s="2" t="s">
        <v>50</v>
      </c>
      <c r="Y236" s="2" t="s">
        <v>50</v>
      </c>
      <c r="Z236" s="2" t="s">
        <v>50</v>
      </c>
      <c r="AA236" s="2" t="s">
        <v>50</v>
      </c>
      <c r="AB236" s="2" t="s">
        <v>50</v>
      </c>
      <c r="AC236" s="2" t="s">
        <v>455</v>
      </c>
      <c r="AD236" s="2" t="s">
        <v>355</v>
      </c>
      <c r="AE236" s="2" t="s">
        <v>356</v>
      </c>
      <c r="AF236" s="2" t="s">
        <v>357</v>
      </c>
      <c r="AG236" s="2" t="s">
        <v>358</v>
      </c>
      <c r="AH236" s="2" t="s">
        <v>359</v>
      </c>
      <c r="AI236" s="2" t="s">
        <v>50</v>
      </c>
      <c r="AJ236" s="2" t="s">
        <v>50</v>
      </c>
      <c r="AK236" s="2" t="s">
        <v>50</v>
      </c>
      <c r="AL236" s="2" t="s">
        <v>50</v>
      </c>
    </row>
    <row r="237" s="2" customFormat="true" ht="13.8" hidden="false" customHeight="false" outlineLevel="0" collapsed="false">
      <c r="B237" s="2" t="str">
        <f aca="false">HYPERLINK("https://genome.ucsc.edu/cgi-bin/hgTracks?db=hg19&amp;position=chr2%3A179553732%2D179553732", "chr2:179553732")</f>
        <v>chr2:179553732</v>
      </c>
      <c r="C237" s="2" t="s">
        <v>258</v>
      </c>
      <c r="D237" s="2" t="n">
        <v>179553732</v>
      </c>
      <c r="E237" s="2" t="n">
        <v>179553732</v>
      </c>
      <c r="F237" s="2" t="s">
        <v>308</v>
      </c>
      <c r="G237" s="2" t="s">
        <v>40</v>
      </c>
      <c r="H237" s="2" t="s">
        <v>1505</v>
      </c>
      <c r="I237" s="2" t="s">
        <v>1506</v>
      </c>
      <c r="J237" s="2" t="s">
        <v>1507</v>
      </c>
      <c r="K237" s="2" t="s">
        <v>50</v>
      </c>
      <c r="L237" s="2" t="s">
        <v>50</v>
      </c>
      <c r="M237" s="2" t="str">
        <f aca="false">HYPERLINK("https://www.genecards.org/Search/Keyword?queryString=%5Baliases%5D(%20TTN%20)&amp;keywords=TTN", "TTN")</f>
        <v>TTN</v>
      </c>
      <c r="N237" s="2" t="s">
        <v>347</v>
      </c>
      <c r="O237" s="2" t="s">
        <v>50</v>
      </c>
      <c r="P237" s="2" t="s">
        <v>50</v>
      </c>
      <c r="Q237" s="2" t="n">
        <v>-1</v>
      </c>
      <c r="R237" s="2" t="n">
        <v>-1</v>
      </c>
      <c r="S237" s="2" t="n">
        <v>-1</v>
      </c>
      <c r="T237" s="2" t="n">
        <v>-1</v>
      </c>
      <c r="U237" s="2" t="n">
        <v>-1</v>
      </c>
      <c r="V237" s="2" t="s">
        <v>50</v>
      </c>
      <c r="W237" s="2" t="s">
        <v>50</v>
      </c>
      <c r="X237" s="2" t="s">
        <v>50</v>
      </c>
      <c r="Y237" s="2" t="s">
        <v>50</v>
      </c>
      <c r="Z237" s="2" t="s">
        <v>50</v>
      </c>
      <c r="AA237" s="2" t="s">
        <v>50</v>
      </c>
      <c r="AB237" s="2" t="s">
        <v>50</v>
      </c>
      <c r="AC237" s="2" t="s">
        <v>455</v>
      </c>
      <c r="AD237" s="2" t="s">
        <v>355</v>
      </c>
      <c r="AE237" s="2" t="s">
        <v>356</v>
      </c>
      <c r="AF237" s="2" t="s">
        <v>357</v>
      </c>
      <c r="AG237" s="2" t="s">
        <v>358</v>
      </c>
      <c r="AH237" s="2" t="s">
        <v>359</v>
      </c>
      <c r="AI237" s="2" t="s">
        <v>50</v>
      </c>
      <c r="AJ237" s="2" t="s">
        <v>50</v>
      </c>
      <c r="AK237" s="2" t="s">
        <v>50</v>
      </c>
      <c r="AL237" s="2" t="s">
        <v>50</v>
      </c>
    </row>
    <row r="238" customFormat="false" ht="13.8" hidden="false" customHeight="false" outlineLevel="0" collapsed="false">
      <c r="B238" s="0" t="str">
        <f aca="false">HYPERLINK("https://genome.ucsc.edu/cgi-bin/hgTracks?db=hg19&amp;position=chr2%3A231037488%2D231037488", "chr2:231037488")</f>
        <v>chr2:231037488</v>
      </c>
      <c r="C238" s="0" t="s">
        <v>258</v>
      </c>
      <c r="D238" s="0" t="n">
        <v>231037488</v>
      </c>
      <c r="E238" s="0" t="n">
        <v>231037488</v>
      </c>
      <c r="F238" s="0" t="s">
        <v>39</v>
      </c>
      <c r="G238" s="0" t="s">
        <v>40</v>
      </c>
      <c r="H238" s="0" t="s">
        <v>1508</v>
      </c>
      <c r="I238" s="0" t="s">
        <v>1396</v>
      </c>
      <c r="J238" s="0" t="s">
        <v>1509</v>
      </c>
      <c r="K238" s="0" t="s">
        <v>50</v>
      </c>
      <c r="L238" s="0" t="str">
        <f aca="false">HYPERLINK("https://www.ncbi.nlm.nih.gov/snp/rs138304714", "rs138304714")</f>
        <v>rs138304714</v>
      </c>
      <c r="M238" s="0" t="str">
        <f aca="false">HYPERLINK("https://www.genecards.org/Search/Keyword?queryString=%5Baliases%5D(%20SP110%20)&amp;keywords=SP110", "SP110")</f>
        <v>SP110</v>
      </c>
      <c r="N238" s="0" t="s">
        <v>347</v>
      </c>
      <c r="O238" s="0" t="s">
        <v>50</v>
      </c>
      <c r="P238" s="0" t="s">
        <v>50</v>
      </c>
      <c r="Q238" s="0" t="n">
        <v>0.0276</v>
      </c>
      <c r="R238" s="0" t="n">
        <v>0.0127</v>
      </c>
      <c r="S238" s="0" t="n">
        <v>0.0135</v>
      </c>
      <c r="T238" s="0" t="n">
        <v>-1</v>
      </c>
      <c r="U238" s="0" t="n">
        <v>0.0122</v>
      </c>
      <c r="V238" s="0" t="s">
        <v>50</v>
      </c>
      <c r="W238" s="0" t="s">
        <v>50</v>
      </c>
      <c r="X238" s="0" t="s">
        <v>348</v>
      </c>
      <c r="Y238" s="0" t="s">
        <v>82</v>
      </c>
      <c r="Z238" s="0" t="s">
        <v>50</v>
      </c>
      <c r="AA238" s="0" t="s">
        <v>50</v>
      </c>
      <c r="AB238" s="0" t="s">
        <v>50</v>
      </c>
      <c r="AC238" s="0" t="s">
        <v>53</v>
      </c>
      <c r="AD238" s="0" t="s">
        <v>54</v>
      </c>
      <c r="AE238" s="0" t="s">
        <v>1510</v>
      </c>
      <c r="AF238" s="0" t="s">
        <v>1511</v>
      </c>
      <c r="AG238" s="0" t="s">
        <v>1512</v>
      </c>
      <c r="AH238" s="0" t="s">
        <v>1513</v>
      </c>
      <c r="AI238" s="0" t="s">
        <v>50</v>
      </c>
      <c r="AJ238" s="0" t="s">
        <v>50</v>
      </c>
      <c r="AK238" s="0" t="s">
        <v>50</v>
      </c>
      <c r="AL238" s="0" t="s">
        <v>50</v>
      </c>
    </row>
    <row r="239" customFormat="false" ht="13.8" hidden="false" customHeight="false" outlineLevel="0" collapsed="false">
      <c r="B239" s="0" t="str">
        <f aca="false">HYPERLINK("https://genome.ucsc.edu/cgi-bin/hgTracks?db=hg19&amp;position=chr2%3A242256951%2D242256952", "chr2:242256951")</f>
        <v>chr2:242256951</v>
      </c>
      <c r="C239" s="0" t="s">
        <v>258</v>
      </c>
      <c r="D239" s="0" t="n">
        <v>242256951</v>
      </c>
      <c r="E239" s="0" t="n">
        <v>242256952</v>
      </c>
      <c r="F239" s="0" t="s">
        <v>1504</v>
      </c>
      <c r="G239" s="0" t="s">
        <v>308</v>
      </c>
      <c r="H239" s="0" t="s">
        <v>1514</v>
      </c>
      <c r="I239" s="0" t="s">
        <v>374</v>
      </c>
      <c r="J239" s="0" t="s">
        <v>1515</v>
      </c>
      <c r="K239" s="0" t="s">
        <v>50</v>
      </c>
      <c r="L239" s="0" t="s">
        <v>50</v>
      </c>
      <c r="M239" s="0" t="str">
        <f aca="false">HYPERLINK("https://www.genecards.org/Search/Keyword?queryString=%5Baliases%5D(%20SEPT2%20)%20OR%20%5Baliases%5D(%20SEPTIN2%20)&amp;keywords=SEPT2,SEPTIN2", "SEPT2;SEPTIN2")</f>
        <v>SEPT2;SEPTIN2</v>
      </c>
      <c r="N239" s="0" t="s">
        <v>1516</v>
      </c>
      <c r="O239" s="0" t="s">
        <v>312</v>
      </c>
      <c r="P239" s="0" t="s">
        <v>1517</v>
      </c>
      <c r="Q239" s="0" t="n">
        <v>0.0166</v>
      </c>
      <c r="R239" s="0" t="n">
        <v>0.0047</v>
      </c>
      <c r="S239" s="0" t="n">
        <v>0.004</v>
      </c>
      <c r="T239" s="0" t="n">
        <v>-1</v>
      </c>
      <c r="U239" s="0" t="n">
        <v>0.0119</v>
      </c>
      <c r="V239" s="0" t="s">
        <v>50</v>
      </c>
      <c r="W239" s="0" t="s">
        <v>50</v>
      </c>
      <c r="X239" s="0" t="s">
        <v>50</v>
      </c>
      <c r="Y239" s="0" t="s">
        <v>50</v>
      </c>
      <c r="Z239" s="0" t="s">
        <v>50</v>
      </c>
      <c r="AA239" s="0" t="s">
        <v>50</v>
      </c>
      <c r="AB239" s="0" t="s">
        <v>50</v>
      </c>
      <c r="AC239" s="0" t="s">
        <v>53</v>
      </c>
      <c r="AD239" s="0" t="s">
        <v>157</v>
      </c>
      <c r="AE239" s="0" t="s">
        <v>1518</v>
      </c>
      <c r="AF239" s="0" t="s">
        <v>1519</v>
      </c>
      <c r="AG239" s="0" t="s">
        <v>1520</v>
      </c>
      <c r="AH239" s="0" t="s">
        <v>50</v>
      </c>
      <c r="AI239" s="0" t="s">
        <v>50</v>
      </c>
      <c r="AJ239" s="0" t="s">
        <v>50</v>
      </c>
      <c r="AK239" s="0" t="s">
        <v>50</v>
      </c>
      <c r="AL239" s="0" t="s">
        <v>50</v>
      </c>
    </row>
    <row r="240" customFormat="false" ht="13.8" hidden="false" customHeight="false" outlineLevel="0" collapsed="false">
      <c r="B240" s="0" t="str">
        <f aca="false">HYPERLINK("https://genome.ucsc.edu/cgi-bin/hgTracks?db=hg19&amp;position=chr20%3A10029844%2D10029844", "chr20:10029844")</f>
        <v>chr20:10029844</v>
      </c>
      <c r="C240" s="0" t="s">
        <v>494</v>
      </c>
      <c r="D240" s="0" t="n">
        <v>10029844</v>
      </c>
      <c r="E240" s="0" t="n">
        <v>10029844</v>
      </c>
      <c r="F240" s="0" t="s">
        <v>40</v>
      </c>
      <c r="G240" s="0" t="s">
        <v>74</v>
      </c>
      <c r="H240" s="0" t="s">
        <v>1521</v>
      </c>
      <c r="I240" s="0" t="s">
        <v>367</v>
      </c>
      <c r="J240" s="0" t="s">
        <v>1522</v>
      </c>
      <c r="K240" s="0" t="s">
        <v>50</v>
      </c>
      <c r="L240" s="0" t="s">
        <v>50</v>
      </c>
      <c r="M240" s="0" t="str">
        <f aca="false">HYPERLINK("https://www.genecards.org/Search/Keyword?queryString=%5Baliases%5D(%20SNAP25-AS1%20)&amp;keywords=SNAP25-AS1", "SNAP25-AS1")</f>
        <v>SNAP25-AS1</v>
      </c>
      <c r="N240" s="0" t="s">
        <v>1523</v>
      </c>
      <c r="O240" s="0" t="s">
        <v>50</v>
      </c>
      <c r="P240" s="0" t="s">
        <v>50</v>
      </c>
      <c r="Q240" s="0" t="n">
        <v>-1</v>
      </c>
      <c r="R240" s="0" t="n">
        <v>-1</v>
      </c>
      <c r="S240" s="0" t="n">
        <v>-1</v>
      </c>
      <c r="T240" s="0" t="n">
        <v>-1</v>
      </c>
      <c r="U240" s="0" t="n">
        <v>-1</v>
      </c>
      <c r="V240" s="0" t="s">
        <v>50</v>
      </c>
      <c r="W240" s="0" t="s">
        <v>50</v>
      </c>
      <c r="X240" s="0" t="s">
        <v>81</v>
      </c>
      <c r="Y240" s="0" t="s">
        <v>82</v>
      </c>
      <c r="Z240" s="0" t="s">
        <v>50</v>
      </c>
      <c r="AA240" s="0" t="s">
        <v>50</v>
      </c>
      <c r="AB240" s="0" t="s">
        <v>50</v>
      </c>
      <c r="AC240" s="0" t="s">
        <v>53</v>
      </c>
      <c r="AD240" s="0" t="s">
        <v>54</v>
      </c>
      <c r="AE240" s="0" t="s">
        <v>50</v>
      </c>
      <c r="AF240" s="0" t="s">
        <v>1524</v>
      </c>
      <c r="AG240" s="0" t="s">
        <v>50</v>
      </c>
      <c r="AH240" s="0" t="s">
        <v>50</v>
      </c>
      <c r="AI240" s="0" t="s">
        <v>50</v>
      </c>
      <c r="AJ240" s="0" t="s">
        <v>50</v>
      </c>
      <c r="AK240" s="0" t="s">
        <v>50</v>
      </c>
      <c r="AL240" s="0" t="s">
        <v>50</v>
      </c>
    </row>
    <row r="241" customFormat="false" ht="13.8" hidden="false" customHeight="false" outlineLevel="0" collapsed="false">
      <c r="B241" s="0" t="str">
        <f aca="false">HYPERLINK("https://genome.ucsc.edu/cgi-bin/hgTracks?db=hg19&amp;position=chr20%3A21213547%2D21213547", "chr20:21213547")</f>
        <v>chr20:21213547</v>
      </c>
      <c r="C241" s="0" t="s">
        <v>494</v>
      </c>
      <c r="D241" s="0" t="n">
        <v>21213547</v>
      </c>
      <c r="E241" s="0" t="n">
        <v>21213547</v>
      </c>
      <c r="F241" s="0" t="s">
        <v>74</v>
      </c>
      <c r="G241" s="0" t="s">
        <v>75</v>
      </c>
      <c r="H241" s="0" t="s">
        <v>1525</v>
      </c>
      <c r="I241" s="0" t="s">
        <v>1526</v>
      </c>
      <c r="J241" s="0" t="s">
        <v>1527</v>
      </c>
      <c r="K241" s="0" t="s">
        <v>50</v>
      </c>
      <c r="L241" s="0" t="str">
        <f aca="false">HYPERLINK("https://www.ncbi.nlm.nih.gov/snp/rs118176312", "rs118176312")</f>
        <v>rs118176312</v>
      </c>
      <c r="M241" s="0" t="str">
        <f aca="false">HYPERLINK("https://www.genecards.org/Search/Keyword?queryString=%5Baliases%5D(%20KIZ%20)%20OR%20%5Baliases%5D(%20PLK1S1%20)&amp;keywords=KIZ,PLK1S1", "KIZ;PLK1S1")</f>
        <v>KIZ;PLK1S1</v>
      </c>
      <c r="N241" s="0" t="s">
        <v>390</v>
      </c>
      <c r="O241" s="0" t="s">
        <v>50</v>
      </c>
      <c r="P241" s="0" t="s">
        <v>50</v>
      </c>
      <c r="Q241" s="0" t="n">
        <v>0.0139</v>
      </c>
      <c r="R241" s="0" t="n">
        <v>0.007</v>
      </c>
      <c r="S241" s="0" t="n">
        <v>0.0083</v>
      </c>
      <c r="T241" s="0" t="n">
        <v>-1</v>
      </c>
      <c r="U241" s="0" t="n">
        <v>0.0047</v>
      </c>
      <c r="V241" s="0" t="s">
        <v>50</v>
      </c>
      <c r="W241" s="0" t="s">
        <v>50</v>
      </c>
      <c r="X241" s="0" t="s">
        <v>50</v>
      </c>
      <c r="Y241" s="0" t="s">
        <v>50</v>
      </c>
      <c r="Z241" s="0" t="s">
        <v>50</v>
      </c>
      <c r="AA241" s="0" t="s">
        <v>50</v>
      </c>
      <c r="AB241" s="0" t="s">
        <v>50</v>
      </c>
      <c r="AC241" s="0" t="s">
        <v>53</v>
      </c>
      <c r="AD241" s="0" t="s">
        <v>157</v>
      </c>
      <c r="AE241" s="0" t="s">
        <v>50</v>
      </c>
      <c r="AF241" s="0" t="s">
        <v>1528</v>
      </c>
      <c r="AG241" s="0" t="s">
        <v>1529</v>
      </c>
      <c r="AH241" s="0" t="s">
        <v>1530</v>
      </c>
      <c r="AI241" s="0" t="s">
        <v>50</v>
      </c>
      <c r="AJ241" s="0" t="s">
        <v>50</v>
      </c>
      <c r="AK241" s="0" t="s">
        <v>50</v>
      </c>
      <c r="AL241" s="0" t="s">
        <v>50</v>
      </c>
    </row>
    <row r="242" customFormat="false" ht="13.8" hidden="false" customHeight="false" outlineLevel="0" collapsed="false">
      <c r="B242" s="0" t="str">
        <f aca="false">HYPERLINK("https://genome.ucsc.edu/cgi-bin/hgTracks?db=hg19&amp;position=chr20%3A25597019%2D25597019", "chr20:25597019")</f>
        <v>chr20:25597019</v>
      </c>
      <c r="C242" s="0" t="s">
        <v>494</v>
      </c>
      <c r="D242" s="0" t="n">
        <v>25597019</v>
      </c>
      <c r="E242" s="0" t="n">
        <v>25597019</v>
      </c>
      <c r="F242" s="0" t="s">
        <v>75</v>
      </c>
      <c r="G242" s="0" t="s">
        <v>308</v>
      </c>
      <c r="H242" s="0" t="s">
        <v>1531</v>
      </c>
      <c r="I242" s="0" t="s">
        <v>517</v>
      </c>
      <c r="J242" s="0" t="s">
        <v>1532</v>
      </c>
      <c r="K242" s="0" t="s">
        <v>50</v>
      </c>
      <c r="L242" s="0" t="s">
        <v>50</v>
      </c>
      <c r="M242" s="0" t="str">
        <f aca="false">HYPERLINK("https://www.genecards.org/Search/Keyword?queryString=%5Baliases%5D(%20NANP%20)&amp;keywords=NANP", "NANP")</f>
        <v>NANP</v>
      </c>
      <c r="N242" s="0" t="s">
        <v>92</v>
      </c>
      <c r="O242" s="0" t="s">
        <v>312</v>
      </c>
      <c r="P242" s="0" t="s">
        <v>1533</v>
      </c>
      <c r="Q242" s="0" t="n">
        <v>-1</v>
      </c>
      <c r="R242" s="0" t="n">
        <v>-1</v>
      </c>
      <c r="S242" s="0" t="n">
        <v>-1</v>
      </c>
      <c r="T242" s="0" t="n">
        <v>-1</v>
      </c>
      <c r="U242" s="0" t="n">
        <v>-1</v>
      </c>
      <c r="V242" s="0" t="s">
        <v>50</v>
      </c>
      <c r="W242" s="0" t="s">
        <v>50</v>
      </c>
      <c r="X242" s="0" t="s">
        <v>50</v>
      </c>
      <c r="Y242" s="0" t="s">
        <v>50</v>
      </c>
      <c r="Z242" s="0" t="s">
        <v>50</v>
      </c>
      <c r="AA242" s="0" t="s">
        <v>50</v>
      </c>
      <c r="AB242" s="0" t="s">
        <v>50</v>
      </c>
      <c r="AC242" s="0" t="s">
        <v>53</v>
      </c>
      <c r="AD242" s="0" t="s">
        <v>54</v>
      </c>
      <c r="AE242" s="0" t="s">
        <v>1534</v>
      </c>
      <c r="AF242" s="0" t="s">
        <v>1535</v>
      </c>
      <c r="AG242" s="0" t="s">
        <v>50</v>
      </c>
      <c r="AH242" s="0" t="s">
        <v>50</v>
      </c>
      <c r="AI242" s="0" t="s">
        <v>50</v>
      </c>
      <c r="AJ242" s="0" t="s">
        <v>50</v>
      </c>
      <c r="AK242" s="0" t="s">
        <v>50</v>
      </c>
      <c r="AL242" s="0" t="s">
        <v>50</v>
      </c>
    </row>
    <row r="243" customFormat="false" ht="13.8" hidden="false" customHeight="false" outlineLevel="0" collapsed="false">
      <c r="B243" s="0" t="str">
        <f aca="false">HYPERLINK("https://genome.ucsc.edu/cgi-bin/hgTracks?db=hg19&amp;position=chr20%3A30438358%2D30438358", "chr20:30438358")</f>
        <v>chr20:30438358</v>
      </c>
      <c r="C243" s="0" t="s">
        <v>494</v>
      </c>
      <c r="D243" s="0" t="n">
        <v>30438358</v>
      </c>
      <c r="E243" s="0" t="n">
        <v>30438358</v>
      </c>
      <c r="F243" s="0" t="s">
        <v>39</v>
      </c>
      <c r="G243" s="0" t="s">
        <v>40</v>
      </c>
      <c r="H243" s="0" t="s">
        <v>1536</v>
      </c>
      <c r="I243" s="0" t="s">
        <v>1537</v>
      </c>
      <c r="J243" s="0" t="s">
        <v>1538</v>
      </c>
      <c r="K243" s="0" t="s">
        <v>50</v>
      </c>
      <c r="L243" s="0" t="str">
        <f aca="false">HYPERLINK("https://www.ncbi.nlm.nih.gov/snp/rs549651568", "rs549651568")</f>
        <v>rs549651568</v>
      </c>
      <c r="M243" s="0" t="str">
        <f aca="false">HYPERLINK("https://www.genecards.org/Search/Keyword?queryString=%5Baliases%5D(%20DUSP15%20)&amp;keywords=DUSP15", "DUSP15")</f>
        <v>DUSP15</v>
      </c>
      <c r="N243" s="0" t="s">
        <v>80</v>
      </c>
      <c r="O243" s="0" t="s">
        <v>50</v>
      </c>
      <c r="P243" s="0" t="s">
        <v>50</v>
      </c>
      <c r="Q243" s="0" t="n">
        <v>0.0089</v>
      </c>
      <c r="R243" s="0" t="n">
        <v>0.008</v>
      </c>
      <c r="S243" s="0" t="n">
        <v>0.0073</v>
      </c>
      <c r="T243" s="0" t="n">
        <v>-1</v>
      </c>
      <c r="U243" s="0" t="n">
        <v>0.0105</v>
      </c>
      <c r="V243" s="0" t="s">
        <v>50</v>
      </c>
      <c r="W243" s="0" t="s">
        <v>50</v>
      </c>
      <c r="X243" s="0" t="s">
        <v>49</v>
      </c>
      <c r="Y243" s="0" t="s">
        <v>82</v>
      </c>
      <c r="Z243" s="0" t="s">
        <v>50</v>
      </c>
      <c r="AA243" s="0" t="s">
        <v>50</v>
      </c>
      <c r="AB243" s="0" t="s">
        <v>50</v>
      </c>
      <c r="AC243" s="0" t="s">
        <v>53</v>
      </c>
      <c r="AD243" s="0" t="s">
        <v>54</v>
      </c>
      <c r="AE243" s="0" t="s">
        <v>1539</v>
      </c>
      <c r="AF243" s="0" t="s">
        <v>1540</v>
      </c>
      <c r="AG243" s="0" t="s">
        <v>50</v>
      </c>
      <c r="AH243" s="0" t="s">
        <v>50</v>
      </c>
      <c r="AI243" s="0" t="s">
        <v>50</v>
      </c>
      <c r="AJ243" s="0" t="s">
        <v>50</v>
      </c>
      <c r="AK243" s="0" t="s">
        <v>50</v>
      </c>
      <c r="AL243" s="0" t="s">
        <v>50</v>
      </c>
    </row>
    <row r="244" customFormat="false" ht="13.8" hidden="false" customHeight="false" outlineLevel="0" collapsed="false">
      <c r="B244" s="0" t="str">
        <f aca="false">HYPERLINK("https://genome.ucsc.edu/cgi-bin/hgTracks?db=hg19&amp;position=chr20%3A31659255%2D31659255", "chr20:31659255")</f>
        <v>chr20:31659255</v>
      </c>
      <c r="C244" s="0" t="s">
        <v>494</v>
      </c>
      <c r="D244" s="0" t="n">
        <v>31659255</v>
      </c>
      <c r="E244" s="0" t="n">
        <v>31659255</v>
      </c>
      <c r="F244" s="0" t="s">
        <v>74</v>
      </c>
      <c r="G244" s="0" t="s">
        <v>75</v>
      </c>
      <c r="H244" s="0" t="s">
        <v>220</v>
      </c>
      <c r="I244" s="0" t="s">
        <v>1096</v>
      </c>
      <c r="J244" s="0" t="s">
        <v>1541</v>
      </c>
      <c r="K244" s="0" t="s">
        <v>50</v>
      </c>
      <c r="L244" s="0" t="str">
        <f aca="false">HYPERLINK("https://www.ncbi.nlm.nih.gov/snp/rs180966595", "rs180966595")</f>
        <v>rs180966595</v>
      </c>
      <c r="M244" s="0" t="str">
        <f aca="false">HYPERLINK("https://www.genecards.org/Search/Keyword?queryString=%5Baliases%5D(%20BPIFB3%20)&amp;keywords=BPIFB3", "BPIFB3")</f>
        <v>BPIFB3</v>
      </c>
      <c r="N244" s="0" t="s">
        <v>80</v>
      </c>
      <c r="O244" s="0" t="s">
        <v>50</v>
      </c>
      <c r="P244" s="0" t="s">
        <v>50</v>
      </c>
      <c r="Q244" s="0" t="n">
        <v>0.0109</v>
      </c>
      <c r="R244" s="0" t="n">
        <v>0.0126</v>
      </c>
      <c r="S244" s="0" t="n">
        <v>0.0112</v>
      </c>
      <c r="T244" s="0" t="n">
        <v>-1</v>
      </c>
      <c r="U244" s="0" t="n">
        <v>0.0194</v>
      </c>
      <c r="V244" s="0" t="s">
        <v>50</v>
      </c>
      <c r="W244" s="0" t="s">
        <v>50</v>
      </c>
      <c r="X244" s="0" t="s">
        <v>49</v>
      </c>
      <c r="Y244" s="0" t="s">
        <v>82</v>
      </c>
      <c r="Z244" s="0" t="s">
        <v>50</v>
      </c>
      <c r="AA244" s="0" t="s">
        <v>50</v>
      </c>
      <c r="AB244" s="0" t="s">
        <v>50</v>
      </c>
      <c r="AC244" s="0" t="s">
        <v>53</v>
      </c>
      <c r="AD244" s="0" t="s">
        <v>54</v>
      </c>
      <c r="AE244" s="0" t="s">
        <v>1542</v>
      </c>
      <c r="AF244" s="0" t="s">
        <v>1543</v>
      </c>
      <c r="AG244" s="0" t="s">
        <v>1544</v>
      </c>
      <c r="AH244" s="0" t="s">
        <v>50</v>
      </c>
      <c r="AI244" s="0" t="s">
        <v>50</v>
      </c>
      <c r="AJ244" s="0" t="s">
        <v>50</v>
      </c>
      <c r="AK244" s="0" t="s">
        <v>50</v>
      </c>
      <c r="AL244" s="0" t="s">
        <v>50</v>
      </c>
    </row>
    <row r="245" customFormat="false" ht="13.8" hidden="false" customHeight="false" outlineLevel="0" collapsed="false">
      <c r="B245" s="0" t="str">
        <f aca="false">HYPERLINK("https://genome.ucsc.edu/cgi-bin/hgTracks?db=hg19&amp;position=chr20%3A35696591%2D35696591", "chr20:35696591")</f>
        <v>chr20:35696591</v>
      </c>
      <c r="C245" s="0" t="s">
        <v>494</v>
      </c>
      <c r="D245" s="0" t="n">
        <v>35696591</v>
      </c>
      <c r="E245" s="0" t="n">
        <v>35696591</v>
      </c>
      <c r="F245" s="0" t="s">
        <v>308</v>
      </c>
      <c r="G245" s="0" t="s">
        <v>75</v>
      </c>
      <c r="H245" s="0" t="s">
        <v>1545</v>
      </c>
      <c r="I245" s="0" t="s">
        <v>1546</v>
      </c>
      <c r="J245" s="0" t="s">
        <v>1547</v>
      </c>
      <c r="K245" s="0" t="s">
        <v>50</v>
      </c>
      <c r="L245" s="0" t="str">
        <f aca="false">HYPERLINK("https://www.ncbi.nlm.nih.gov/snp/rs747182391", "rs747182391")</f>
        <v>rs747182391</v>
      </c>
      <c r="M245" s="0" t="str">
        <f aca="false">HYPERLINK("https://www.genecards.org/Search/Keyword?queryString=%5Baliases%5D(%20RBL1%20)&amp;keywords=RBL1", "RBL1")</f>
        <v>RBL1</v>
      </c>
      <c r="N245" s="0" t="s">
        <v>64</v>
      </c>
      <c r="O245" s="0" t="s">
        <v>50</v>
      </c>
      <c r="P245" s="0" t="s">
        <v>1548</v>
      </c>
      <c r="Q245" s="0" t="n">
        <v>0.013</v>
      </c>
      <c r="R245" s="0" t="n">
        <v>0.0004</v>
      </c>
      <c r="S245" s="0" t="n">
        <v>0.0007</v>
      </c>
      <c r="T245" s="0" t="n">
        <v>-1</v>
      </c>
      <c r="U245" s="0" t="n">
        <v>0.001</v>
      </c>
      <c r="V245" s="0" t="s">
        <v>50</v>
      </c>
      <c r="W245" s="0" t="s">
        <v>50</v>
      </c>
      <c r="X245" s="0" t="s">
        <v>50</v>
      </c>
      <c r="Y245" s="0" t="s">
        <v>50</v>
      </c>
      <c r="Z245" s="0" t="s">
        <v>50</v>
      </c>
      <c r="AA245" s="0" t="s">
        <v>50</v>
      </c>
      <c r="AB245" s="0" t="s">
        <v>50</v>
      </c>
      <c r="AC245" s="0" t="s">
        <v>53</v>
      </c>
      <c r="AD245" s="0" t="s">
        <v>54</v>
      </c>
      <c r="AE245" s="0" t="s">
        <v>1549</v>
      </c>
      <c r="AF245" s="0" t="s">
        <v>1550</v>
      </c>
      <c r="AG245" s="0" t="s">
        <v>1551</v>
      </c>
      <c r="AH245" s="0" t="s">
        <v>50</v>
      </c>
      <c r="AI245" s="0" t="s">
        <v>661</v>
      </c>
      <c r="AJ245" s="0" t="s">
        <v>50</v>
      </c>
      <c r="AK245" s="0" t="s">
        <v>50</v>
      </c>
      <c r="AL245" s="0" t="s">
        <v>50</v>
      </c>
    </row>
    <row r="246" customFormat="false" ht="13.8" hidden="false" customHeight="false" outlineLevel="0" collapsed="false">
      <c r="B246" s="0" t="str">
        <f aca="false">HYPERLINK("https://genome.ucsc.edu/cgi-bin/hgTracks?db=hg19&amp;position=chr20%3A49177780%2D49177780", "chr20:49177780")</f>
        <v>chr20:49177780</v>
      </c>
      <c r="C246" s="0" t="s">
        <v>494</v>
      </c>
      <c r="D246" s="0" t="n">
        <v>49177780</v>
      </c>
      <c r="E246" s="0" t="n">
        <v>49177780</v>
      </c>
      <c r="F246" s="0" t="s">
        <v>75</v>
      </c>
      <c r="G246" s="0" t="s">
        <v>74</v>
      </c>
      <c r="H246" s="0" t="s">
        <v>1552</v>
      </c>
      <c r="I246" s="0" t="s">
        <v>1402</v>
      </c>
      <c r="J246" s="0" t="s">
        <v>1553</v>
      </c>
      <c r="K246" s="0" t="s">
        <v>50</v>
      </c>
      <c r="L246" s="0" t="str">
        <f aca="false">HYPERLINK("https://www.ncbi.nlm.nih.gov/snp/rs567859706", "rs567859706")</f>
        <v>rs567859706</v>
      </c>
      <c r="M246" s="0" t="str">
        <f aca="false">HYPERLINK("https://www.genecards.org/Search/Keyword?queryString=%5Baliases%5D(%20PTPN1%20)&amp;keywords=PTPN1", "PTPN1")</f>
        <v>PTPN1</v>
      </c>
      <c r="N246" s="0" t="s">
        <v>80</v>
      </c>
      <c r="O246" s="0" t="s">
        <v>50</v>
      </c>
      <c r="P246" s="0" t="s">
        <v>50</v>
      </c>
      <c r="Q246" s="0" t="n">
        <v>0.0083</v>
      </c>
      <c r="R246" s="0" t="n">
        <v>0.0089</v>
      </c>
      <c r="S246" s="0" t="n">
        <v>0.0071</v>
      </c>
      <c r="T246" s="0" t="n">
        <v>-1</v>
      </c>
      <c r="U246" s="0" t="n">
        <v>0.0145</v>
      </c>
      <c r="V246" s="0" t="s">
        <v>50</v>
      </c>
      <c r="W246" s="0" t="s">
        <v>50</v>
      </c>
      <c r="X246" s="0" t="s">
        <v>49</v>
      </c>
      <c r="Y246" s="0" t="s">
        <v>82</v>
      </c>
      <c r="Z246" s="0" t="s">
        <v>50</v>
      </c>
      <c r="AA246" s="0" t="s">
        <v>50</v>
      </c>
      <c r="AB246" s="0" t="s">
        <v>50</v>
      </c>
      <c r="AC246" s="0" t="s">
        <v>53</v>
      </c>
      <c r="AD246" s="0" t="s">
        <v>54</v>
      </c>
      <c r="AE246" s="0" t="s">
        <v>1554</v>
      </c>
      <c r="AF246" s="0" t="s">
        <v>1555</v>
      </c>
      <c r="AG246" s="0" t="s">
        <v>1556</v>
      </c>
      <c r="AH246" s="0" t="s">
        <v>50</v>
      </c>
      <c r="AI246" s="0" t="s">
        <v>50</v>
      </c>
      <c r="AJ246" s="0" t="s">
        <v>50</v>
      </c>
      <c r="AK246" s="0" t="s">
        <v>50</v>
      </c>
      <c r="AL246" s="0" t="s">
        <v>50</v>
      </c>
    </row>
    <row r="247" customFormat="false" ht="13.8" hidden="false" customHeight="false" outlineLevel="0" collapsed="false">
      <c r="B247" s="0" t="str">
        <f aca="false">HYPERLINK("https://genome.ucsc.edu/cgi-bin/hgTracks?db=hg19&amp;position=chr20%3A57480539%2D57480539", "chr20:57480539")</f>
        <v>chr20:57480539</v>
      </c>
      <c r="C247" s="0" t="s">
        <v>494</v>
      </c>
      <c r="D247" s="0" t="n">
        <v>57480539</v>
      </c>
      <c r="E247" s="0" t="n">
        <v>57480539</v>
      </c>
      <c r="F247" s="0" t="s">
        <v>75</v>
      </c>
      <c r="G247" s="0" t="s">
        <v>39</v>
      </c>
      <c r="H247" s="0" t="s">
        <v>1557</v>
      </c>
      <c r="I247" s="0" t="s">
        <v>531</v>
      </c>
      <c r="J247" s="0" t="s">
        <v>1558</v>
      </c>
      <c r="K247" s="0" t="s">
        <v>50</v>
      </c>
      <c r="L247" s="0" t="s">
        <v>50</v>
      </c>
      <c r="M247" s="0" t="str">
        <f aca="false">HYPERLINK("https://www.genecards.org/Search/Keyword?queryString=%5Baliases%5D(%20GNAS%20)&amp;keywords=GNAS", "GNAS")</f>
        <v>GNAS</v>
      </c>
      <c r="N247" s="0" t="s">
        <v>80</v>
      </c>
      <c r="O247" s="0" t="s">
        <v>50</v>
      </c>
      <c r="P247" s="0" t="s">
        <v>50</v>
      </c>
      <c r="Q247" s="0" t="n">
        <v>-1</v>
      </c>
      <c r="R247" s="0" t="n">
        <v>-1</v>
      </c>
      <c r="S247" s="0" t="n">
        <v>-1</v>
      </c>
      <c r="T247" s="0" t="n">
        <v>-1</v>
      </c>
      <c r="U247" s="0" t="n">
        <v>-1</v>
      </c>
      <c r="V247" s="0" t="s">
        <v>50</v>
      </c>
      <c r="W247" s="0" t="s">
        <v>49</v>
      </c>
      <c r="X247" s="0" t="s">
        <v>49</v>
      </c>
      <c r="Y247" s="0" t="s">
        <v>67</v>
      </c>
      <c r="Z247" s="0" t="s">
        <v>50</v>
      </c>
      <c r="AA247" s="0" t="s">
        <v>50</v>
      </c>
      <c r="AB247" s="0" t="s">
        <v>50</v>
      </c>
      <c r="AC247" s="0" t="s">
        <v>53</v>
      </c>
      <c r="AD247" s="0" t="s">
        <v>54</v>
      </c>
      <c r="AE247" s="0" t="s">
        <v>1559</v>
      </c>
      <c r="AF247" s="0" t="s">
        <v>1560</v>
      </c>
      <c r="AG247" s="0" t="s">
        <v>50</v>
      </c>
      <c r="AH247" s="0" t="s">
        <v>1561</v>
      </c>
      <c r="AI247" s="0" t="s">
        <v>50</v>
      </c>
      <c r="AJ247" s="0" t="s">
        <v>50</v>
      </c>
      <c r="AK247" s="0" t="s">
        <v>50</v>
      </c>
      <c r="AL247" s="0" t="s">
        <v>50</v>
      </c>
    </row>
    <row r="248" customFormat="false" ht="13.8" hidden="false" customHeight="false" outlineLevel="0" collapsed="false">
      <c r="B248" s="0" t="str">
        <f aca="false">HYPERLINK("https://genome.ucsc.edu/cgi-bin/hgTracks?db=hg19&amp;position=chr20%3A62324816%2D62324816", "chr20:62324816")</f>
        <v>chr20:62324816</v>
      </c>
      <c r="C248" s="0" t="s">
        <v>494</v>
      </c>
      <c r="D248" s="0" t="n">
        <v>62324816</v>
      </c>
      <c r="E248" s="0" t="n">
        <v>62324816</v>
      </c>
      <c r="F248" s="0" t="s">
        <v>39</v>
      </c>
      <c r="G248" s="0" t="s">
        <v>1562</v>
      </c>
      <c r="H248" s="0" t="s">
        <v>1563</v>
      </c>
      <c r="I248" s="0" t="s">
        <v>721</v>
      </c>
      <c r="J248" s="0" t="s">
        <v>1564</v>
      </c>
      <c r="K248" s="0" t="s">
        <v>50</v>
      </c>
      <c r="L248" s="0" t="s">
        <v>50</v>
      </c>
      <c r="M248" s="0" t="str">
        <f aca="false">HYPERLINK("https://www.genecards.org/Search/Keyword?queryString=%5Baliases%5D(%20RTEL1%20)%20OR%20%5Baliases%5D(%20RTEL1-TNFRSF6B%20)&amp;keywords=RTEL1,RTEL1-TNFRSF6B", "RTEL1;RTEL1-TNFRSF6B")</f>
        <v>RTEL1;RTEL1-TNFRSF6B</v>
      </c>
      <c r="N248" s="0" t="s">
        <v>347</v>
      </c>
      <c r="O248" s="0" t="s">
        <v>50</v>
      </c>
      <c r="P248" s="0" t="s">
        <v>50</v>
      </c>
      <c r="Q248" s="0" t="n">
        <v>-1</v>
      </c>
      <c r="R248" s="0" t="n">
        <v>-1</v>
      </c>
      <c r="S248" s="0" t="n">
        <v>-1</v>
      </c>
      <c r="T248" s="0" t="n">
        <v>-1</v>
      </c>
      <c r="U248" s="0" t="n">
        <v>-1</v>
      </c>
      <c r="V248" s="0" t="s">
        <v>50</v>
      </c>
      <c r="W248" s="0" t="s">
        <v>50</v>
      </c>
      <c r="X248" s="0" t="s">
        <v>50</v>
      </c>
      <c r="Y248" s="0" t="s">
        <v>50</v>
      </c>
      <c r="Z248" s="0" t="s">
        <v>50</v>
      </c>
      <c r="AA248" s="0" t="s">
        <v>50</v>
      </c>
      <c r="AB248" s="0" t="s">
        <v>50</v>
      </c>
      <c r="AC248" s="0" t="s">
        <v>455</v>
      </c>
      <c r="AD248" s="0" t="s">
        <v>1565</v>
      </c>
      <c r="AE248" s="0" t="s">
        <v>1566</v>
      </c>
      <c r="AF248" s="0" t="s">
        <v>1567</v>
      </c>
      <c r="AG248" s="0" t="s">
        <v>1568</v>
      </c>
      <c r="AH248" s="0" t="s">
        <v>1569</v>
      </c>
      <c r="AI248" s="0" t="s">
        <v>50</v>
      </c>
      <c r="AJ248" s="0" t="s">
        <v>50</v>
      </c>
      <c r="AK248" s="0" t="s">
        <v>50</v>
      </c>
      <c r="AL248" s="0" t="s">
        <v>50</v>
      </c>
    </row>
    <row r="249" customFormat="false" ht="13.8" hidden="false" customHeight="false" outlineLevel="0" collapsed="false">
      <c r="B249" s="0" t="str">
        <f aca="false">HYPERLINK("https://genome.ucsc.edu/cgi-bin/hgTracks?db=hg19&amp;position=chr20%3A62324818%2D62324821", "chr20:62324818")</f>
        <v>chr20:62324818</v>
      </c>
      <c r="C249" s="0" t="s">
        <v>494</v>
      </c>
      <c r="D249" s="0" t="n">
        <v>62324818</v>
      </c>
      <c r="E249" s="0" t="n">
        <v>62324821</v>
      </c>
      <c r="F249" s="0" t="s">
        <v>1570</v>
      </c>
      <c r="G249" s="0" t="s">
        <v>1562</v>
      </c>
      <c r="H249" s="0" t="s">
        <v>1571</v>
      </c>
      <c r="I249" s="0" t="s">
        <v>721</v>
      </c>
      <c r="J249" s="0" t="s">
        <v>1564</v>
      </c>
      <c r="K249" s="0" t="s">
        <v>50</v>
      </c>
      <c r="L249" s="0" t="s">
        <v>50</v>
      </c>
      <c r="M249" s="0" t="str">
        <f aca="false">HYPERLINK("https://www.genecards.org/Search/Keyword?queryString=%5Baliases%5D(%20RTEL1%20)%20OR%20%5Baliases%5D(%20RTEL1-TNFRSF6B%20)&amp;keywords=RTEL1,RTEL1-TNFRSF6B", "RTEL1;RTEL1-TNFRSF6B")</f>
        <v>RTEL1;RTEL1-TNFRSF6B</v>
      </c>
      <c r="N249" s="0" t="s">
        <v>347</v>
      </c>
      <c r="O249" s="0" t="s">
        <v>50</v>
      </c>
      <c r="P249" s="0" t="s">
        <v>50</v>
      </c>
      <c r="Q249" s="0" t="n">
        <v>-1</v>
      </c>
      <c r="R249" s="0" t="n">
        <v>-1</v>
      </c>
      <c r="S249" s="0" t="n">
        <v>-1</v>
      </c>
      <c r="T249" s="0" t="n">
        <v>-1</v>
      </c>
      <c r="U249" s="0" t="n">
        <v>-1</v>
      </c>
      <c r="V249" s="0" t="s">
        <v>50</v>
      </c>
      <c r="W249" s="0" t="s">
        <v>50</v>
      </c>
      <c r="X249" s="0" t="s">
        <v>50</v>
      </c>
      <c r="Y249" s="0" t="s">
        <v>50</v>
      </c>
      <c r="Z249" s="0" t="s">
        <v>50</v>
      </c>
      <c r="AA249" s="0" t="s">
        <v>50</v>
      </c>
      <c r="AB249" s="0" t="s">
        <v>50</v>
      </c>
      <c r="AC249" s="0" t="s">
        <v>455</v>
      </c>
      <c r="AD249" s="0" t="s">
        <v>1565</v>
      </c>
      <c r="AE249" s="0" t="s">
        <v>1566</v>
      </c>
      <c r="AF249" s="0" t="s">
        <v>1567</v>
      </c>
      <c r="AG249" s="0" t="s">
        <v>1568</v>
      </c>
      <c r="AH249" s="0" t="s">
        <v>1569</v>
      </c>
      <c r="AI249" s="0" t="s">
        <v>632</v>
      </c>
      <c r="AJ249" s="0" t="s">
        <v>50</v>
      </c>
      <c r="AK249" s="0" t="s">
        <v>50</v>
      </c>
      <c r="AL249" s="0" t="s">
        <v>50</v>
      </c>
    </row>
    <row r="250" customFormat="false" ht="13.8" hidden="false" customHeight="false" outlineLevel="0" collapsed="false">
      <c r="B250" s="0" t="str">
        <f aca="false">HYPERLINK("https://genome.ucsc.edu/cgi-bin/hgTracks?db=hg19&amp;position=chr20%3A62324827%2D62324827", "chr20:62324827")</f>
        <v>chr20:62324827</v>
      </c>
      <c r="C250" s="0" t="s">
        <v>494</v>
      </c>
      <c r="D250" s="0" t="n">
        <v>62324827</v>
      </c>
      <c r="E250" s="0" t="n">
        <v>62324827</v>
      </c>
      <c r="F250" s="0" t="s">
        <v>40</v>
      </c>
      <c r="G250" s="0" t="s">
        <v>1562</v>
      </c>
      <c r="H250" s="0" t="s">
        <v>1563</v>
      </c>
      <c r="I250" s="0" t="s">
        <v>721</v>
      </c>
      <c r="J250" s="0" t="s">
        <v>1564</v>
      </c>
      <c r="K250" s="0" t="s">
        <v>50</v>
      </c>
      <c r="L250" s="0" t="s">
        <v>50</v>
      </c>
      <c r="M250" s="0" t="str">
        <f aca="false">HYPERLINK("https://www.genecards.org/Search/Keyword?queryString=%5Baliases%5D(%20RTEL1%20)%20OR%20%5Baliases%5D(%20RTEL1-TNFRSF6B%20)&amp;keywords=RTEL1,RTEL1-TNFRSF6B", "RTEL1;RTEL1-TNFRSF6B")</f>
        <v>RTEL1;RTEL1-TNFRSF6B</v>
      </c>
      <c r="N250" s="0" t="s">
        <v>347</v>
      </c>
      <c r="O250" s="0" t="s">
        <v>50</v>
      </c>
      <c r="P250" s="0" t="s">
        <v>50</v>
      </c>
      <c r="Q250" s="0" t="n">
        <v>-1</v>
      </c>
      <c r="R250" s="0" t="n">
        <v>-1</v>
      </c>
      <c r="S250" s="0" t="n">
        <v>-1</v>
      </c>
      <c r="T250" s="0" t="n">
        <v>-1</v>
      </c>
      <c r="U250" s="0" t="n">
        <v>-1</v>
      </c>
      <c r="V250" s="0" t="s">
        <v>50</v>
      </c>
      <c r="W250" s="0" t="s">
        <v>50</v>
      </c>
      <c r="X250" s="0" t="s">
        <v>50</v>
      </c>
      <c r="Y250" s="0" t="s">
        <v>50</v>
      </c>
      <c r="Z250" s="0" t="s">
        <v>50</v>
      </c>
      <c r="AA250" s="0" t="s">
        <v>50</v>
      </c>
      <c r="AB250" s="0" t="s">
        <v>50</v>
      </c>
      <c r="AC250" s="0" t="s">
        <v>455</v>
      </c>
      <c r="AD250" s="0" t="s">
        <v>1565</v>
      </c>
      <c r="AE250" s="0" t="s">
        <v>1566</v>
      </c>
      <c r="AF250" s="0" t="s">
        <v>1567</v>
      </c>
      <c r="AG250" s="0" t="s">
        <v>1568</v>
      </c>
      <c r="AH250" s="0" t="s">
        <v>1569</v>
      </c>
      <c r="AI250" s="0" t="s">
        <v>632</v>
      </c>
      <c r="AJ250" s="0" t="s">
        <v>50</v>
      </c>
      <c r="AK250" s="0" t="s">
        <v>50</v>
      </c>
      <c r="AL250" s="0" t="s">
        <v>50</v>
      </c>
    </row>
    <row r="251" customFormat="false" ht="13.8" hidden="false" customHeight="false" outlineLevel="0" collapsed="false">
      <c r="B251" s="0" t="str">
        <f aca="false">HYPERLINK("https://genome.ucsc.edu/cgi-bin/hgTracks?db=hg19&amp;position=chr20%3A62897073%2D62897073", "chr20:62897073")</f>
        <v>chr20:62897073</v>
      </c>
      <c r="C251" s="0" t="s">
        <v>494</v>
      </c>
      <c r="D251" s="0" t="n">
        <v>62897073</v>
      </c>
      <c r="E251" s="0" t="n">
        <v>62897073</v>
      </c>
      <c r="F251" s="0" t="s">
        <v>39</v>
      </c>
      <c r="G251" s="0" t="s">
        <v>75</v>
      </c>
      <c r="H251" s="0" t="s">
        <v>1572</v>
      </c>
      <c r="I251" s="0" t="s">
        <v>1573</v>
      </c>
      <c r="J251" s="0" t="s">
        <v>1574</v>
      </c>
      <c r="K251" s="0" t="s">
        <v>50</v>
      </c>
      <c r="L251" s="0" t="str">
        <f aca="false">HYPERLINK("https://www.ncbi.nlm.nih.gov/snp/rs552697950", "rs552697950")</f>
        <v>rs552697950</v>
      </c>
      <c r="M251" s="0" t="str">
        <f aca="false">HYPERLINK("https://www.genecards.org/Search/Keyword?queryString=%5Baliases%5D(%20PCMTD2%20)&amp;keywords=PCMTD2", "PCMTD2")</f>
        <v>PCMTD2</v>
      </c>
      <c r="N251" s="0" t="s">
        <v>80</v>
      </c>
      <c r="O251" s="0" t="s">
        <v>50</v>
      </c>
      <c r="P251" s="0" t="s">
        <v>50</v>
      </c>
      <c r="Q251" s="0" t="n">
        <v>0.0016</v>
      </c>
      <c r="R251" s="0" t="n">
        <v>0.0016</v>
      </c>
      <c r="S251" s="0" t="n">
        <v>0.0018</v>
      </c>
      <c r="T251" s="0" t="n">
        <v>-1</v>
      </c>
      <c r="U251" s="0" t="n">
        <v>0.0019</v>
      </c>
      <c r="V251" s="0" t="s">
        <v>50</v>
      </c>
      <c r="W251" s="0" t="s">
        <v>50</v>
      </c>
      <c r="X251" s="0" t="s">
        <v>81</v>
      </c>
      <c r="Y251" s="0" t="s">
        <v>82</v>
      </c>
      <c r="Z251" s="0" t="s">
        <v>50</v>
      </c>
      <c r="AA251" s="0" t="s">
        <v>50</v>
      </c>
      <c r="AB251" s="0" t="s">
        <v>50</v>
      </c>
      <c r="AC251" s="0" t="s">
        <v>53</v>
      </c>
      <c r="AD251" s="0" t="s">
        <v>54</v>
      </c>
      <c r="AE251" s="0" t="s">
        <v>1575</v>
      </c>
      <c r="AF251" s="0" t="s">
        <v>1576</v>
      </c>
      <c r="AG251" s="0" t="s">
        <v>50</v>
      </c>
      <c r="AH251" s="0" t="s">
        <v>50</v>
      </c>
      <c r="AI251" s="0" t="s">
        <v>50</v>
      </c>
      <c r="AJ251" s="0" t="s">
        <v>473</v>
      </c>
      <c r="AK251" s="0" t="s">
        <v>50</v>
      </c>
      <c r="AL251" s="0" t="s">
        <v>50</v>
      </c>
    </row>
    <row r="252" customFormat="false" ht="13.8" hidden="false" customHeight="false" outlineLevel="0" collapsed="false">
      <c r="B252" s="0" t="str">
        <f aca="false">HYPERLINK("https://genome.ucsc.edu/cgi-bin/hgTracks?db=hg19&amp;position=chr21%3A10973842%2D10973842", "chr21:10973842")</f>
        <v>chr21:10973842</v>
      </c>
      <c r="C252" s="0" t="s">
        <v>501</v>
      </c>
      <c r="D252" s="0" t="n">
        <v>10973842</v>
      </c>
      <c r="E252" s="0" t="n">
        <v>10973842</v>
      </c>
      <c r="F252" s="0" t="s">
        <v>75</v>
      </c>
      <c r="G252" s="0" t="s">
        <v>39</v>
      </c>
      <c r="H252" s="0" t="s">
        <v>1577</v>
      </c>
      <c r="I252" s="0" t="s">
        <v>583</v>
      </c>
      <c r="J252" s="0" t="s">
        <v>1578</v>
      </c>
      <c r="K252" s="0" t="s">
        <v>50</v>
      </c>
      <c r="L252" s="0" t="s">
        <v>50</v>
      </c>
      <c r="M252" s="0" t="str">
        <f aca="false">HYPERLINK("https://www.genecards.org/Search/Keyword?queryString=%5Baliases%5D(%20TPTE%20)&amp;keywords=TPTE", "TPTE")</f>
        <v>TPTE</v>
      </c>
      <c r="N252" s="0" t="s">
        <v>80</v>
      </c>
      <c r="O252" s="0" t="s">
        <v>50</v>
      </c>
      <c r="P252" s="0" t="s">
        <v>50</v>
      </c>
      <c r="Q252" s="0" t="n">
        <v>-1</v>
      </c>
      <c r="R252" s="0" t="n">
        <v>-1</v>
      </c>
      <c r="S252" s="0" t="n">
        <v>-1</v>
      </c>
      <c r="T252" s="0" t="n">
        <v>-1</v>
      </c>
      <c r="U252" s="0" t="n">
        <v>-1</v>
      </c>
      <c r="V252" s="0" t="s">
        <v>50</v>
      </c>
      <c r="W252" s="0" t="s">
        <v>50</v>
      </c>
      <c r="X252" s="0" t="s">
        <v>49</v>
      </c>
      <c r="Y252" s="0" t="s">
        <v>82</v>
      </c>
      <c r="Z252" s="0" t="s">
        <v>50</v>
      </c>
      <c r="AA252" s="0" t="s">
        <v>50</v>
      </c>
      <c r="AB252" s="0" t="s">
        <v>50</v>
      </c>
      <c r="AC252" s="0" t="s">
        <v>53</v>
      </c>
      <c r="AD252" s="0" t="s">
        <v>54</v>
      </c>
      <c r="AE252" s="0" t="s">
        <v>1579</v>
      </c>
      <c r="AF252" s="0" t="s">
        <v>1580</v>
      </c>
      <c r="AG252" s="0" t="s">
        <v>1581</v>
      </c>
      <c r="AH252" s="0" t="s">
        <v>50</v>
      </c>
      <c r="AI252" s="0" t="s">
        <v>50</v>
      </c>
      <c r="AJ252" s="0" t="s">
        <v>50</v>
      </c>
      <c r="AK252" s="0" t="s">
        <v>50</v>
      </c>
      <c r="AL252" s="0" t="s">
        <v>50</v>
      </c>
    </row>
    <row r="253" customFormat="false" ht="13.8" hidden="false" customHeight="false" outlineLevel="0" collapsed="false">
      <c r="B253" s="0" t="str">
        <f aca="false">HYPERLINK("https://genome.ucsc.edu/cgi-bin/hgTracks?db=hg19&amp;position=chr21%3A14743754%2D14743754", "chr21:14743754")</f>
        <v>chr21:14743754</v>
      </c>
      <c r="C253" s="0" t="s">
        <v>501</v>
      </c>
      <c r="D253" s="0" t="n">
        <v>14743754</v>
      </c>
      <c r="E253" s="0" t="n">
        <v>14743754</v>
      </c>
      <c r="F253" s="0" t="s">
        <v>39</v>
      </c>
      <c r="G253" s="0" t="s">
        <v>40</v>
      </c>
      <c r="H253" s="0" t="s">
        <v>1582</v>
      </c>
      <c r="I253" s="0" t="s">
        <v>1583</v>
      </c>
      <c r="J253" s="0" t="s">
        <v>1584</v>
      </c>
      <c r="K253" s="0" t="s">
        <v>50</v>
      </c>
      <c r="L253" s="0" t="str">
        <f aca="false">HYPERLINK("https://www.ncbi.nlm.nih.gov/snp/rs74734987", "rs74734987")</f>
        <v>rs74734987</v>
      </c>
      <c r="M253" s="0" t="s">
        <v>50</v>
      </c>
      <c r="N253" s="0" t="s">
        <v>1585</v>
      </c>
      <c r="O253" s="0" t="s">
        <v>50</v>
      </c>
      <c r="P253" s="0" t="s">
        <v>1586</v>
      </c>
      <c r="Q253" s="0" t="n">
        <v>7.307E-005</v>
      </c>
      <c r="R253" s="0" t="n">
        <v>9.188E-005</v>
      </c>
      <c r="S253" s="0" t="n">
        <v>7.467E-005</v>
      </c>
      <c r="T253" s="0" t="n">
        <v>-1</v>
      </c>
      <c r="U253" s="0" t="n">
        <v>0.0002</v>
      </c>
      <c r="V253" s="0" t="s">
        <v>50</v>
      </c>
      <c r="W253" s="0" t="s">
        <v>50</v>
      </c>
      <c r="X253" s="0" t="s">
        <v>81</v>
      </c>
      <c r="Y253" s="0" t="s">
        <v>67</v>
      </c>
      <c r="Z253" s="0" t="s">
        <v>50</v>
      </c>
      <c r="AA253" s="0" t="s">
        <v>50</v>
      </c>
      <c r="AB253" s="0" t="s">
        <v>50</v>
      </c>
      <c r="AC253" s="0" t="s">
        <v>53</v>
      </c>
      <c r="AD253" s="0" t="s">
        <v>1058</v>
      </c>
      <c r="AE253" s="0" t="s">
        <v>50</v>
      </c>
      <c r="AF253" s="0" t="s">
        <v>50</v>
      </c>
      <c r="AG253" s="0" t="s">
        <v>50</v>
      </c>
      <c r="AH253" s="0" t="s">
        <v>50</v>
      </c>
      <c r="AI253" s="0" t="s">
        <v>50</v>
      </c>
      <c r="AJ253" s="0" t="s">
        <v>50</v>
      </c>
      <c r="AK253" s="0" t="s">
        <v>50</v>
      </c>
      <c r="AL253" s="0" t="s">
        <v>50</v>
      </c>
    </row>
    <row r="254" customFormat="false" ht="13.8" hidden="false" customHeight="false" outlineLevel="0" collapsed="false">
      <c r="B254" s="0" t="str">
        <f aca="false">HYPERLINK("https://genome.ucsc.edu/cgi-bin/hgTracks?db=hg19&amp;position=chr21%3A14743800%2D14743800", "chr21:14743800")</f>
        <v>chr21:14743800</v>
      </c>
      <c r="C254" s="0" t="s">
        <v>501</v>
      </c>
      <c r="D254" s="0" t="n">
        <v>14743800</v>
      </c>
      <c r="E254" s="0" t="n">
        <v>14743800</v>
      </c>
      <c r="F254" s="0" t="s">
        <v>75</v>
      </c>
      <c r="G254" s="0" t="s">
        <v>40</v>
      </c>
      <c r="H254" s="0" t="s">
        <v>1587</v>
      </c>
      <c r="I254" s="0" t="s">
        <v>1588</v>
      </c>
      <c r="J254" s="0" t="s">
        <v>1589</v>
      </c>
      <c r="K254" s="0" t="s">
        <v>50</v>
      </c>
      <c r="L254" s="0" t="str">
        <f aca="false">HYPERLINK("https://www.ncbi.nlm.nih.gov/snp/rs796634144", "rs796634144")</f>
        <v>rs796634144</v>
      </c>
      <c r="M254" s="0" t="s">
        <v>50</v>
      </c>
      <c r="N254" s="0" t="s">
        <v>1465</v>
      </c>
      <c r="O254" s="0" t="s">
        <v>50</v>
      </c>
      <c r="P254" s="0" t="s">
        <v>1590</v>
      </c>
      <c r="Q254" s="0" t="n">
        <v>0.0001</v>
      </c>
      <c r="R254" s="0" t="n">
        <v>0.0001</v>
      </c>
      <c r="S254" s="0" t="n">
        <v>-1</v>
      </c>
      <c r="T254" s="0" t="n">
        <v>-1</v>
      </c>
      <c r="U254" s="0" t="n">
        <v>-1</v>
      </c>
      <c r="V254" s="0" t="s">
        <v>50</v>
      </c>
      <c r="W254" s="0" t="s">
        <v>50</v>
      </c>
      <c r="X254" s="0" t="s">
        <v>81</v>
      </c>
      <c r="Y254" s="0" t="s">
        <v>82</v>
      </c>
      <c r="Z254" s="0" t="s">
        <v>50</v>
      </c>
      <c r="AA254" s="0" t="s">
        <v>50</v>
      </c>
      <c r="AB254" s="0" t="s">
        <v>50</v>
      </c>
      <c r="AC254" s="0" t="s">
        <v>53</v>
      </c>
      <c r="AD254" s="0" t="s">
        <v>1058</v>
      </c>
      <c r="AE254" s="0" t="s">
        <v>50</v>
      </c>
      <c r="AF254" s="0" t="s">
        <v>50</v>
      </c>
      <c r="AG254" s="0" t="s">
        <v>50</v>
      </c>
      <c r="AH254" s="0" t="s">
        <v>50</v>
      </c>
      <c r="AI254" s="0" t="s">
        <v>632</v>
      </c>
      <c r="AJ254" s="0" t="s">
        <v>50</v>
      </c>
      <c r="AK254" s="0" t="s">
        <v>50</v>
      </c>
      <c r="AL254" s="0" t="s">
        <v>50</v>
      </c>
    </row>
    <row r="255" customFormat="false" ht="13.8" hidden="false" customHeight="false" outlineLevel="0" collapsed="false">
      <c r="B255" s="0" t="str">
        <f aca="false">HYPERLINK("https://genome.ucsc.edu/cgi-bin/hgTracks?db=hg19&amp;position=chr21%3A37732160%2D37732160", "chr21:37732160")</f>
        <v>chr21:37732160</v>
      </c>
      <c r="C255" s="0" t="s">
        <v>501</v>
      </c>
      <c r="D255" s="0" t="n">
        <v>37732160</v>
      </c>
      <c r="E255" s="0" t="n">
        <v>37732160</v>
      </c>
      <c r="F255" s="0" t="s">
        <v>75</v>
      </c>
      <c r="G255" s="0" t="s">
        <v>74</v>
      </c>
      <c r="H255" s="0" t="s">
        <v>1591</v>
      </c>
      <c r="I255" s="0" t="s">
        <v>1066</v>
      </c>
      <c r="J255" s="0" t="s">
        <v>1592</v>
      </c>
      <c r="K255" s="0" t="s">
        <v>50</v>
      </c>
      <c r="L255" s="0" t="str">
        <f aca="false">HYPERLINK("https://www.ncbi.nlm.nih.gov/snp/rs546246028", "rs546246028")</f>
        <v>rs546246028</v>
      </c>
      <c r="M255" s="0" t="str">
        <f aca="false">HYPERLINK("https://www.genecards.org/Search/Keyword?queryString=%5Baliases%5D(%20MORC3%20)&amp;keywords=MORC3", "MORC3")</f>
        <v>MORC3</v>
      </c>
      <c r="N255" s="0" t="s">
        <v>80</v>
      </c>
      <c r="O255" s="0" t="s">
        <v>50</v>
      </c>
      <c r="P255" s="0" t="s">
        <v>50</v>
      </c>
      <c r="Q255" s="0" t="n">
        <v>0.0023</v>
      </c>
      <c r="R255" s="0" t="n">
        <v>0.0033</v>
      </c>
      <c r="S255" s="0" t="n">
        <v>0.0024</v>
      </c>
      <c r="T255" s="0" t="n">
        <v>-1</v>
      </c>
      <c r="U255" s="0" t="n">
        <v>0.0058</v>
      </c>
      <c r="V255" s="0" t="s">
        <v>50</v>
      </c>
      <c r="W255" s="0" t="s">
        <v>50</v>
      </c>
      <c r="X255" s="0" t="s">
        <v>49</v>
      </c>
      <c r="Y255" s="0" t="s">
        <v>82</v>
      </c>
      <c r="Z255" s="0" t="s">
        <v>50</v>
      </c>
      <c r="AA255" s="0" t="s">
        <v>50</v>
      </c>
      <c r="AB255" s="0" t="s">
        <v>50</v>
      </c>
      <c r="AC255" s="0" t="s">
        <v>53</v>
      </c>
      <c r="AD255" s="0" t="s">
        <v>54</v>
      </c>
      <c r="AE255" s="0" t="s">
        <v>1593</v>
      </c>
      <c r="AF255" s="0" t="s">
        <v>1594</v>
      </c>
      <c r="AG255" s="0" t="s">
        <v>1595</v>
      </c>
      <c r="AH255" s="0" t="s">
        <v>50</v>
      </c>
      <c r="AI255" s="0" t="s">
        <v>50</v>
      </c>
      <c r="AJ255" s="0" t="s">
        <v>50</v>
      </c>
      <c r="AK255" s="0" t="s">
        <v>50</v>
      </c>
      <c r="AL255" s="0" t="s">
        <v>50</v>
      </c>
    </row>
    <row r="256" customFormat="false" ht="13.8" hidden="false" customHeight="false" outlineLevel="0" collapsed="false">
      <c r="B256" s="0" t="str">
        <f aca="false">HYPERLINK("https://genome.ucsc.edu/cgi-bin/hgTracks?db=hg19&amp;position=chr21%3A42613620%2D42613620", "chr21:42613620")</f>
        <v>chr21:42613620</v>
      </c>
      <c r="C256" s="0" t="s">
        <v>501</v>
      </c>
      <c r="D256" s="0" t="n">
        <v>42613620</v>
      </c>
      <c r="E256" s="0" t="n">
        <v>42613620</v>
      </c>
      <c r="F256" s="0" t="s">
        <v>40</v>
      </c>
      <c r="G256" s="0" t="s">
        <v>75</v>
      </c>
      <c r="H256" s="0" t="s">
        <v>1596</v>
      </c>
      <c r="I256" s="0" t="s">
        <v>480</v>
      </c>
      <c r="J256" s="0" t="s">
        <v>1597</v>
      </c>
      <c r="K256" s="0" t="s">
        <v>50</v>
      </c>
      <c r="L256" s="0" t="str">
        <f aca="false">HYPERLINK("https://www.ncbi.nlm.nih.gov/snp/rs555212725", "rs555212725")</f>
        <v>rs555212725</v>
      </c>
      <c r="M256" s="0" t="str">
        <f aca="false">HYPERLINK("https://www.genecards.org/Search/Keyword?queryString=%5Baliases%5D(%20BACE2%20)&amp;keywords=BACE2", "BACE2")</f>
        <v>BACE2</v>
      </c>
      <c r="N256" s="0" t="s">
        <v>80</v>
      </c>
      <c r="O256" s="0" t="s">
        <v>50</v>
      </c>
      <c r="P256" s="0" t="s">
        <v>50</v>
      </c>
      <c r="Q256" s="0" t="n">
        <v>0.0032</v>
      </c>
      <c r="R256" s="0" t="n">
        <v>0.0042</v>
      </c>
      <c r="S256" s="0" t="n">
        <v>0.0034</v>
      </c>
      <c r="T256" s="0" t="n">
        <v>-1</v>
      </c>
      <c r="U256" s="0" t="n">
        <v>0.0078</v>
      </c>
      <c r="V256" s="0" t="s">
        <v>50</v>
      </c>
      <c r="W256" s="0" t="s">
        <v>50</v>
      </c>
      <c r="X256" s="0" t="s">
        <v>49</v>
      </c>
      <c r="Y256" s="0" t="s">
        <v>82</v>
      </c>
      <c r="Z256" s="0" t="s">
        <v>50</v>
      </c>
      <c r="AA256" s="0" t="s">
        <v>50</v>
      </c>
      <c r="AB256" s="0" t="s">
        <v>50</v>
      </c>
      <c r="AC256" s="0" t="s">
        <v>53</v>
      </c>
      <c r="AD256" s="0" t="s">
        <v>54</v>
      </c>
      <c r="AE256" s="0" t="s">
        <v>1598</v>
      </c>
      <c r="AF256" s="0" t="s">
        <v>1599</v>
      </c>
      <c r="AG256" s="0" t="s">
        <v>1600</v>
      </c>
      <c r="AH256" s="0" t="s">
        <v>50</v>
      </c>
      <c r="AI256" s="0" t="s">
        <v>50</v>
      </c>
      <c r="AJ256" s="0" t="s">
        <v>50</v>
      </c>
      <c r="AK256" s="0" t="s">
        <v>50</v>
      </c>
      <c r="AL256" s="0" t="s">
        <v>50</v>
      </c>
    </row>
    <row r="257" customFormat="false" ht="13.8" hidden="false" customHeight="false" outlineLevel="0" collapsed="false">
      <c r="B257" s="0" t="str">
        <f aca="false">HYPERLINK("https://genome.ucsc.edu/cgi-bin/hgTracks?db=hg19&amp;position=chr21%3A45670601%2D45670601", "chr21:45670601")</f>
        <v>chr21:45670601</v>
      </c>
      <c r="C257" s="0" t="s">
        <v>501</v>
      </c>
      <c r="D257" s="0" t="n">
        <v>45670601</v>
      </c>
      <c r="E257" s="0" t="n">
        <v>45670601</v>
      </c>
      <c r="F257" s="0" t="s">
        <v>39</v>
      </c>
      <c r="G257" s="0" t="s">
        <v>40</v>
      </c>
      <c r="H257" s="0" t="s">
        <v>1601</v>
      </c>
      <c r="I257" s="0" t="s">
        <v>310</v>
      </c>
      <c r="J257" s="0" t="s">
        <v>1602</v>
      </c>
      <c r="K257" s="0" t="s">
        <v>50</v>
      </c>
      <c r="L257" s="0" t="str">
        <f aca="false">HYPERLINK("https://www.ncbi.nlm.nih.gov/snp/rs140400131", "rs140400131")</f>
        <v>rs140400131</v>
      </c>
      <c r="M257" s="0" t="str">
        <f aca="false">HYPERLINK("https://www.genecards.org/Search/Keyword?queryString=%5Baliases%5D(%20DNMT3L%20)&amp;keywords=DNMT3L", "DNMT3L")</f>
        <v>DNMT3L</v>
      </c>
      <c r="N257" s="0" t="s">
        <v>80</v>
      </c>
      <c r="O257" s="0" t="s">
        <v>50</v>
      </c>
      <c r="P257" s="0" t="s">
        <v>50</v>
      </c>
      <c r="Q257" s="0" t="n">
        <v>0.0276</v>
      </c>
      <c r="R257" s="0" t="n">
        <v>0.0271</v>
      </c>
      <c r="S257" s="0" t="n">
        <v>0.0275</v>
      </c>
      <c r="T257" s="0" t="n">
        <v>-1</v>
      </c>
      <c r="U257" s="0" t="n">
        <v>0.0266</v>
      </c>
      <c r="V257" s="0" t="s">
        <v>50</v>
      </c>
      <c r="W257" s="0" t="s">
        <v>50</v>
      </c>
      <c r="X257" s="0" t="s">
        <v>49</v>
      </c>
      <c r="Y257" s="0" t="s">
        <v>82</v>
      </c>
      <c r="Z257" s="0" t="s">
        <v>50</v>
      </c>
      <c r="AA257" s="0" t="s">
        <v>50</v>
      </c>
      <c r="AB257" s="0" t="s">
        <v>50</v>
      </c>
      <c r="AC257" s="0" t="s">
        <v>53</v>
      </c>
      <c r="AD257" s="0" t="s">
        <v>54</v>
      </c>
      <c r="AE257" s="0" t="s">
        <v>1603</v>
      </c>
      <c r="AF257" s="0" t="s">
        <v>1604</v>
      </c>
      <c r="AG257" s="0" t="s">
        <v>1605</v>
      </c>
      <c r="AH257" s="0" t="s">
        <v>50</v>
      </c>
      <c r="AI257" s="0" t="s">
        <v>50</v>
      </c>
      <c r="AJ257" s="0" t="s">
        <v>50</v>
      </c>
      <c r="AK257" s="0" t="s">
        <v>50</v>
      </c>
      <c r="AL257" s="0" t="s">
        <v>50</v>
      </c>
    </row>
    <row r="258" customFormat="false" ht="13.8" hidden="false" customHeight="false" outlineLevel="0" collapsed="false">
      <c r="B258" s="0" t="str">
        <f aca="false">HYPERLINK("https://genome.ucsc.edu/cgi-bin/hgTracks?db=hg19&amp;position=chr21%3A45978476%2D45978476", "chr21:45978476")</f>
        <v>chr21:45978476</v>
      </c>
      <c r="C258" s="0" t="s">
        <v>501</v>
      </c>
      <c r="D258" s="0" t="n">
        <v>45978476</v>
      </c>
      <c r="E258" s="0" t="n">
        <v>45978476</v>
      </c>
      <c r="F258" s="0" t="s">
        <v>74</v>
      </c>
      <c r="G258" s="0" t="s">
        <v>308</v>
      </c>
      <c r="H258" s="0" t="s">
        <v>1606</v>
      </c>
      <c r="I258" s="0" t="s">
        <v>1607</v>
      </c>
      <c r="J258" s="0" t="s">
        <v>1608</v>
      </c>
      <c r="K258" s="0" t="s">
        <v>50</v>
      </c>
      <c r="L258" s="0" t="str">
        <f aca="false">HYPERLINK("https://www.ncbi.nlm.nih.gov/snp/rs782471420", "rs782471420")</f>
        <v>rs782471420</v>
      </c>
      <c r="M258" s="0" t="str">
        <f aca="false">HYPERLINK("https://www.genecards.org/Search/Keyword?queryString=%5Baliases%5D(%20KRTAP10-3%20)&amp;keywords=KRTAP10-3", "KRTAP10-3")</f>
        <v>KRTAP10-3</v>
      </c>
      <c r="N258" s="0" t="s">
        <v>92</v>
      </c>
      <c r="O258" s="0" t="s">
        <v>312</v>
      </c>
      <c r="P258" s="0" t="s">
        <v>1609</v>
      </c>
      <c r="Q258" s="0" t="n">
        <v>0.0019</v>
      </c>
      <c r="R258" s="0" t="n">
        <v>0.0023</v>
      </c>
      <c r="S258" s="0" t="n">
        <v>0.0019</v>
      </c>
      <c r="T258" s="0" t="n">
        <v>-1</v>
      </c>
      <c r="U258" s="0" t="n">
        <v>0.0033</v>
      </c>
      <c r="V258" s="0" t="s">
        <v>50</v>
      </c>
      <c r="W258" s="0" t="s">
        <v>50</v>
      </c>
      <c r="X258" s="0" t="s">
        <v>50</v>
      </c>
      <c r="Y258" s="0" t="s">
        <v>50</v>
      </c>
      <c r="Z258" s="0" t="s">
        <v>50</v>
      </c>
      <c r="AA258" s="0" t="s">
        <v>50</v>
      </c>
      <c r="AB258" s="0" t="s">
        <v>50</v>
      </c>
      <c r="AC258" s="0" t="s">
        <v>53</v>
      </c>
      <c r="AD258" s="0" t="s">
        <v>54</v>
      </c>
      <c r="AE258" s="0" t="s">
        <v>1610</v>
      </c>
      <c r="AF258" s="0" t="s">
        <v>1611</v>
      </c>
      <c r="AG258" s="0" t="s">
        <v>508</v>
      </c>
      <c r="AH258" s="0" t="s">
        <v>50</v>
      </c>
      <c r="AI258" s="0" t="s">
        <v>50</v>
      </c>
      <c r="AJ258" s="0" t="s">
        <v>50</v>
      </c>
      <c r="AK258" s="0" t="s">
        <v>50</v>
      </c>
      <c r="AL258" s="0" t="s">
        <v>474</v>
      </c>
    </row>
    <row r="259" customFormat="false" ht="13.8" hidden="false" customHeight="false" outlineLevel="0" collapsed="false">
      <c r="B259" s="0" t="str">
        <f aca="false">HYPERLINK("https://genome.ucsc.edu/cgi-bin/hgTracks?db=hg19&amp;position=chr22%3A20030990%2D20030990", "chr22:20030990")</f>
        <v>chr22:20030990</v>
      </c>
      <c r="C259" s="0" t="s">
        <v>297</v>
      </c>
      <c r="D259" s="0" t="n">
        <v>20030990</v>
      </c>
      <c r="E259" s="0" t="n">
        <v>20030990</v>
      </c>
      <c r="F259" s="0" t="s">
        <v>74</v>
      </c>
      <c r="G259" s="0" t="s">
        <v>75</v>
      </c>
      <c r="H259" s="0" t="s">
        <v>1612</v>
      </c>
      <c r="I259" s="0" t="s">
        <v>643</v>
      </c>
      <c r="J259" s="0" t="s">
        <v>1613</v>
      </c>
      <c r="K259" s="0" t="s">
        <v>50</v>
      </c>
      <c r="L259" s="0" t="str">
        <f aca="false">HYPERLINK("https://www.ncbi.nlm.nih.gov/snp/rs375888966", "rs375888966")</f>
        <v>rs375888966</v>
      </c>
      <c r="M259" s="0" t="str">
        <f aca="false">HYPERLINK("https://www.genecards.org/Search/Keyword?queryString=%5Baliases%5D(%20TANGO2%20)&amp;keywords=TANGO2", "TANGO2")</f>
        <v>TANGO2</v>
      </c>
      <c r="N259" s="0" t="s">
        <v>80</v>
      </c>
      <c r="O259" s="0" t="s">
        <v>50</v>
      </c>
      <c r="P259" s="0" t="s">
        <v>50</v>
      </c>
      <c r="Q259" s="0" t="n">
        <v>0.0069</v>
      </c>
      <c r="R259" s="0" t="n">
        <v>0.0032</v>
      </c>
      <c r="S259" s="0" t="n">
        <v>0.0029</v>
      </c>
      <c r="T259" s="0" t="n">
        <v>-1</v>
      </c>
      <c r="U259" s="0" t="n">
        <v>0.0047</v>
      </c>
      <c r="V259" s="0" t="s">
        <v>50</v>
      </c>
      <c r="W259" s="0" t="s">
        <v>50</v>
      </c>
      <c r="X259" s="0" t="s">
        <v>49</v>
      </c>
      <c r="Y259" s="0" t="s">
        <v>82</v>
      </c>
      <c r="Z259" s="0" t="s">
        <v>50</v>
      </c>
      <c r="AA259" s="0" t="s">
        <v>50</v>
      </c>
      <c r="AB259" s="0" t="s">
        <v>50</v>
      </c>
      <c r="AC259" s="0" t="s">
        <v>53</v>
      </c>
      <c r="AD259" s="0" t="s">
        <v>54</v>
      </c>
      <c r="AE259" s="0" t="s">
        <v>1614</v>
      </c>
      <c r="AF259" s="0" t="s">
        <v>1615</v>
      </c>
      <c r="AG259" s="0" t="s">
        <v>50</v>
      </c>
      <c r="AH259" s="0" t="s">
        <v>50</v>
      </c>
      <c r="AI259" s="0" t="s">
        <v>50</v>
      </c>
      <c r="AJ259" s="0" t="s">
        <v>50</v>
      </c>
      <c r="AK259" s="0" t="s">
        <v>50</v>
      </c>
      <c r="AL259" s="0" t="s">
        <v>50</v>
      </c>
    </row>
    <row r="260" customFormat="false" ht="13.8" hidden="false" customHeight="false" outlineLevel="0" collapsed="false">
      <c r="B260" s="0" t="str">
        <f aca="false">HYPERLINK("https://genome.ucsc.edu/cgi-bin/hgTracks?db=hg19&amp;position=chr22%3A22677018%2D22677018", "chr22:22677018")</f>
        <v>chr22:22677018</v>
      </c>
      <c r="C260" s="0" t="s">
        <v>297</v>
      </c>
      <c r="D260" s="0" t="n">
        <v>22677018</v>
      </c>
      <c r="E260" s="0" t="n">
        <v>22677018</v>
      </c>
      <c r="F260" s="0" t="s">
        <v>74</v>
      </c>
      <c r="G260" s="0" t="s">
        <v>39</v>
      </c>
      <c r="H260" s="0" t="s">
        <v>1616</v>
      </c>
      <c r="I260" s="0" t="s">
        <v>1617</v>
      </c>
      <c r="J260" s="0" t="s">
        <v>1618</v>
      </c>
      <c r="K260" s="0" t="s">
        <v>50</v>
      </c>
      <c r="L260" s="0" t="str">
        <f aca="false">HYPERLINK("https://www.ncbi.nlm.nih.gov/snp/rs539795776", "rs539795776")</f>
        <v>rs539795776</v>
      </c>
      <c r="M260" s="0" t="str">
        <f aca="false">HYPERLINK("https://www.genecards.org/Search/Keyword?queryString=%5Baliases%5D(%20BMS1P20%20)%20OR%20%5Baliases%5D(%20LOC96610%20)%20OR%20%5Baliases%5D(%20abParts%20)&amp;keywords=BMS1P20,LOC96610,abParts", "BMS1P20;LOC96610;abParts")</f>
        <v>BMS1P20;LOC96610;abParts</v>
      </c>
      <c r="N260" s="0" t="s">
        <v>1619</v>
      </c>
      <c r="O260" s="0" t="s">
        <v>50</v>
      </c>
      <c r="P260" s="0" t="s">
        <v>1620</v>
      </c>
      <c r="Q260" s="0" t="n">
        <v>0.0015</v>
      </c>
      <c r="R260" s="0" t="n">
        <v>0.0004</v>
      </c>
      <c r="S260" s="0" t="n">
        <v>0.0002</v>
      </c>
      <c r="T260" s="0" t="n">
        <v>-1</v>
      </c>
      <c r="U260" s="0" t="n">
        <v>-1</v>
      </c>
      <c r="V260" s="0" t="s">
        <v>50</v>
      </c>
      <c r="W260" s="0" t="s">
        <v>50</v>
      </c>
      <c r="X260" s="0" t="s">
        <v>81</v>
      </c>
      <c r="Y260" s="0" t="s">
        <v>67</v>
      </c>
      <c r="Z260" s="0" t="s">
        <v>50</v>
      </c>
      <c r="AA260" s="0" t="s">
        <v>50</v>
      </c>
      <c r="AB260" s="0" t="s">
        <v>50</v>
      </c>
      <c r="AC260" s="0" t="s">
        <v>53</v>
      </c>
      <c r="AD260" s="0" t="s">
        <v>1621</v>
      </c>
      <c r="AE260" s="0" t="s">
        <v>50</v>
      </c>
      <c r="AF260" s="0" t="s">
        <v>1622</v>
      </c>
      <c r="AG260" s="0" t="s">
        <v>50</v>
      </c>
      <c r="AH260" s="0" t="s">
        <v>50</v>
      </c>
      <c r="AI260" s="0" t="s">
        <v>50</v>
      </c>
      <c r="AJ260" s="0" t="s">
        <v>50</v>
      </c>
      <c r="AK260" s="0" t="s">
        <v>50</v>
      </c>
      <c r="AL260" s="0" t="s">
        <v>50</v>
      </c>
    </row>
    <row r="261" customFormat="false" ht="13.8" hidden="false" customHeight="false" outlineLevel="0" collapsed="false">
      <c r="B261" s="0" t="str">
        <f aca="false">HYPERLINK("https://genome.ucsc.edu/cgi-bin/hgTracks?db=hg19&amp;position=chr22%3A22989768%2D22989768", "chr22:22989768")</f>
        <v>chr22:22989768</v>
      </c>
      <c r="C261" s="0" t="s">
        <v>297</v>
      </c>
      <c r="D261" s="0" t="n">
        <v>22989768</v>
      </c>
      <c r="E261" s="0" t="n">
        <v>22989768</v>
      </c>
      <c r="F261" s="0" t="s">
        <v>74</v>
      </c>
      <c r="G261" s="0" t="s">
        <v>75</v>
      </c>
      <c r="H261" s="0" t="s">
        <v>1623</v>
      </c>
      <c r="I261" s="0" t="s">
        <v>1624</v>
      </c>
      <c r="J261" s="0" t="s">
        <v>1625</v>
      </c>
      <c r="K261" s="0" t="s">
        <v>50</v>
      </c>
      <c r="L261" s="0" t="str">
        <f aca="false">HYPERLINK("https://www.ncbi.nlm.nih.gov/snp/rs775101917", "rs775101917")</f>
        <v>rs775101917</v>
      </c>
      <c r="M261" s="0" t="str">
        <f aca="false">HYPERLINK("https://www.genecards.org/Search/Keyword?queryString=%5Baliases%5D(%20DKFZp667J0810%20)%20OR%20%5Baliases%5D(%20GGTLC2%20)%20OR%20%5Baliases%5D(%20abParts%20)&amp;keywords=DKFZp667J0810,GGTLC2,abParts", "DKFZp667J0810;GGTLC2;abParts")</f>
        <v>DKFZp667J0810;GGTLC2;abParts</v>
      </c>
      <c r="N261" s="0" t="s">
        <v>347</v>
      </c>
      <c r="O261" s="0" t="s">
        <v>50</v>
      </c>
      <c r="P261" s="0" t="s">
        <v>50</v>
      </c>
      <c r="Q261" s="0" t="n">
        <v>6.512E-005</v>
      </c>
      <c r="R261" s="0" t="n">
        <v>9.074E-005</v>
      </c>
      <c r="S261" s="0" t="n">
        <v>7.364E-005</v>
      </c>
      <c r="T261" s="0" t="n">
        <v>-1</v>
      </c>
      <c r="U261" s="0" t="n">
        <v>0.0002</v>
      </c>
      <c r="V261" s="0" t="s">
        <v>50</v>
      </c>
      <c r="W261" s="0" t="s">
        <v>40</v>
      </c>
      <c r="X261" s="0" t="s">
        <v>81</v>
      </c>
      <c r="Y261" s="0" t="s">
        <v>82</v>
      </c>
      <c r="Z261" s="0" t="s">
        <v>50</v>
      </c>
      <c r="AA261" s="0" t="s">
        <v>50</v>
      </c>
      <c r="AB261" s="0" t="s">
        <v>50</v>
      </c>
      <c r="AC261" s="0" t="s">
        <v>53</v>
      </c>
      <c r="AD261" s="0" t="s">
        <v>1626</v>
      </c>
      <c r="AE261" s="0" t="s">
        <v>514</v>
      </c>
      <c r="AF261" s="0" t="s">
        <v>515</v>
      </c>
      <c r="AG261" s="0" t="s">
        <v>50</v>
      </c>
      <c r="AH261" s="0" t="s">
        <v>50</v>
      </c>
      <c r="AI261" s="0" t="s">
        <v>632</v>
      </c>
      <c r="AJ261" s="0" t="s">
        <v>50</v>
      </c>
      <c r="AK261" s="0" t="s">
        <v>50</v>
      </c>
      <c r="AL261" s="0" t="s">
        <v>277</v>
      </c>
    </row>
    <row r="262" customFormat="false" ht="13.8" hidden="false" customHeight="false" outlineLevel="0" collapsed="false">
      <c r="B262" s="0" t="str">
        <f aca="false">HYPERLINK("https://genome.ucsc.edu/cgi-bin/hgTracks?db=hg19&amp;position=chr22%3A25024040%2D25024040", "chr22:25024040")</f>
        <v>chr22:25024040</v>
      </c>
      <c r="C262" s="0" t="s">
        <v>297</v>
      </c>
      <c r="D262" s="0" t="n">
        <v>25024040</v>
      </c>
      <c r="E262" s="0" t="n">
        <v>25024040</v>
      </c>
      <c r="F262" s="0" t="s">
        <v>74</v>
      </c>
      <c r="G262" s="0" t="s">
        <v>75</v>
      </c>
      <c r="H262" s="0" t="s">
        <v>1627</v>
      </c>
      <c r="I262" s="0" t="s">
        <v>260</v>
      </c>
      <c r="J262" s="0" t="s">
        <v>1628</v>
      </c>
      <c r="K262" s="0" t="s">
        <v>50</v>
      </c>
      <c r="L262" s="0" t="str">
        <f aca="false">HYPERLINK("https://www.ncbi.nlm.nih.gov/snp/rs74279113", "rs74279113")</f>
        <v>rs74279113</v>
      </c>
      <c r="M262" s="0" t="str">
        <f aca="false">HYPERLINK("https://www.genecards.org/Search/Keyword?queryString=%5Baliases%5D(%20GGT1%20)&amp;keywords=GGT1", "GGT1")</f>
        <v>GGT1</v>
      </c>
      <c r="N262" s="0" t="s">
        <v>80</v>
      </c>
      <c r="O262" s="0" t="s">
        <v>50</v>
      </c>
      <c r="P262" s="0" t="s">
        <v>50</v>
      </c>
      <c r="Q262" s="0" t="n">
        <v>0.0101163</v>
      </c>
      <c r="R262" s="0" t="n">
        <v>-1</v>
      </c>
      <c r="S262" s="0" t="n">
        <v>-1</v>
      </c>
      <c r="T262" s="0" t="n">
        <v>-1</v>
      </c>
      <c r="U262" s="0" t="n">
        <v>-1</v>
      </c>
      <c r="V262" s="0" t="s">
        <v>50</v>
      </c>
      <c r="W262" s="0" t="s">
        <v>49</v>
      </c>
      <c r="X262" s="0" t="s">
        <v>81</v>
      </c>
      <c r="Y262" s="0" t="s">
        <v>67</v>
      </c>
      <c r="Z262" s="0" t="s">
        <v>50</v>
      </c>
      <c r="AA262" s="0" t="s">
        <v>50</v>
      </c>
      <c r="AB262" s="0" t="s">
        <v>50</v>
      </c>
      <c r="AC262" s="0" t="s">
        <v>53</v>
      </c>
      <c r="AD262" s="0" t="s">
        <v>226</v>
      </c>
      <c r="AE262" s="0" t="s">
        <v>1629</v>
      </c>
      <c r="AF262" s="0" t="s">
        <v>1630</v>
      </c>
      <c r="AG262" s="0" t="s">
        <v>1631</v>
      </c>
      <c r="AH262" s="0" t="s">
        <v>1632</v>
      </c>
      <c r="AI262" s="0" t="s">
        <v>632</v>
      </c>
      <c r="AJ262" s="0" t="s">
        <v>50</v>
      </c>
      <c r="AK262" s="0" t="s">
        <v>50</v>
      </c>
      <c r="AL262" s="0" t="s">
        <v>277</v>
      </c>
    </row>
    <row r="263" customFormat="false" ht="13.8" hidden="false" customHeight="false" outlineLevel="0" collapsed="false">
      <c r="B263" s="0" t="str">
        <f aca="false">HYPERLINK("https://genome.ucsc.edu/cgi-bin/hgTracks?db=hg19&amp;position=chr22%3A25024363%2D25024363", "chr22:25024363")</f>
        <v>chr22:25024363</v>
      </c>
      <c r="C263" s="0" t="s">
        <v>297</v>
      </c>
      <c r="D263" s="0" t="n">
        <v>25024363</v>
      </c>
      <c r="E263" s="0" t="n">
        <v>25024363</v>
      </c>
      <c r="F263" s="0" t="s">
        <v>74</v>
      </c>
      <c r="G263" s="0" t="s">
        <v>75</v>
      </c>
      <c r="H263" s="0" t="s">
        <v>1001</v>
      </c>
      <c r="I263" s="0" t="s">
        <v>1633</v>
      </c>
      <c r="J263" s="0" t="s">
        <v>1634</v>
      </c>
      <c r="K263" s="0" t="s">
        <v>50</v>
      </c>
      <c r="L263" s="0" t="str">
        <f aca="false">HYPERLINK("https://www.ncbi.nlm.nih.gov/snp/rs756886269", "rs756886269")</f>
        <v>rs756886269</v>
      </c>
      <c r="M263" s="0" t="str">
        <f aca="false">HYPERLINK("https://www.genecards.org/Search/Keyword?queryString=%5Baliases%5D(%20GGT1%20)&amp;keywords=GGT1", "GGT1")</f>
        <v>GGT1</v>
      </c>
      <c r="N263" s="0" t="s">
        <v>80</v>
      </c>
      <c r="O263" s="0" t="s">
        <v>50</v>
      </c>
      <c r="P263" s="0" t="s">
        <v>50</v>
      </c>
      <c r="Q263" s="0" t="n">
        <v>6.49E-005</v>
      </c>
      <c r="R263" s="0" t="n">
        <v>9.037E-005</v>
      </c>
      <c r="S263" s="0" t="n">
        <v>7.354E-005</v>
      </c>
      <c r="T263" s="0" t="n">
        <v>-1</v>
      </c>
      <c r="U263" s="0" t="n">
        <v>-1</v>
      </c>
      <c r="V263" s="0" t="s">
        <v>50</v>
      </c>
      <c r="W263" s="0" t="s">
        <v>40</v>
      </c>
      <c r="X263" s="0" t="s">
        <v>49</v>
      </c>
      <c r="Y263" s="0" t="s">
        <v>82</v>
      </c>
      <c r="Z263" s="0" t="s">
        <v>50</v>
      </c>
      <c r="AA263" s="0" t="s">
        <v>50</v>
      </c>
      <c r="AB263" s="0" t="s">
        <v>50</v>
      </c>
      <c r="AC263" s="0" t="s">
        <v>53</v>
      </c>
      <c r="AD263" s="0" t="s">
        <v>226</v>
      </c>
      <c r="AE263" s="0" t="s">
        <v>1629</v>
      </c>
      <c r="AF263" s="0" t="s">
        <v>1630</v>
      </c>
      <c r="AG263" s="0" t="s">
        <v>1631</v>
      </c>
      <c r="AH263" s="0" t="s">
        <v>1632</v>
      </c>
      <c r="AI263" s="0" t="s">
        <v>50</v>
      </c>
      <c r="AJ263" s="0" t="s">
        <v>50</v>
      </c>
      <c r="AK263" s="0" t="s">
        <v>50</v>
      </c>
      <c r="AL263" s="0" t="s">
        <v>277</v>
      </c>
    </row>
    <row r="264" customFormat="false" ht="13.8" hidden="false" customHeight="false" outlineLevel="0" collapsed="false">
      <c r="B264" s="0" t="str">
        <f aca="false">HYPERLINK("https://genome.ucsc.edu/cgi-bin/hgTracks?db=hg19&amp;position=chr22%3A26181617%2D26181617", "chr22:26181617")</f>
        <v>chr22:26181617</v>
      </c>
      <c r="C264" s="0" t="s">
        <v>297</v>
      </c>
      <c r="D264" s="0" t="n">
        <v>26181617</v>
      </c>
      <c r="E264" s="0" t="n">
        <v>26181617</v>
      </c>
      <c r="F264" s="0" t="s">
        <v>74</v>
      </c>
      <c r="G264" s="0" t="s">
        <v>75</v>
      </c>
      <c r="H264" s="0" t="s">
        <v>1635</v>
      </c>
      <c r="I264" s="0" t="s">
        <v>61</v>
      </c>
      <c r="J264" s="0" t="s">
        <v>1636</v>
      </c>
      <c r="K264" s="0" t="s">
        <v>50</v>
      </c>
      <c r="L264" s="0" t="str">
        <f aca="false">HYPERLINK("https://www.ncbi.nlm.nih.gov/snp/rs116917090", "rs116917090")</f>
        <v>rs116917090</v>
      </c>
      <c r="M264" s="0" t="str">
        <f aca="false">HYPERLINK("https://www.genecards.org/Search/Keyword?queryString=%5Baliases%5D(%20MYO18B%20)&amp;keywords=MYO18B", "MYO18B")</f>
        <v>MYO18B</v>
      </c>
      <c r="N264" s="0" t="s">
        <v>80</v>
      </c>
      <c r="O264" s="0" t="s">
        <v>50</v>
      </c>
      <c r="P264" s="0" t="s">
        <v>50</v>
      </c>
      <c r="Q264" s="0" t="n">
        <v>0.0119</v>
      </c>
      <c r="R264" s="0" t="n">
        <v>0.0112</v>
      </c>
      <c r="S264" s="0" t="n">
        <v>0.0116</v>
      </c>
      <c r="T264" s="0" t="n">
        <v>-1</v>
      </c>
      <c r="U264" s="0" t="n">
        <v>0.0109</v>
      </c>
      <c r="V264" s="0" t="s">
        <v>50</v>
      </c>
      <c r="W264" s="0" t="s">
        <v>50</v>
      </c>
      <c r="X264" s="0" t="s">
        <v>81</v>
      </c>
      <c r="Y264" s="0" t="s">
        <v>82</v>
      </c>
      <c r="Z264" s="0" t="s">
        <v>50</v>
      </c>
      <c r="AA264" s="0" t="s">
        <v>50</v>
      </c>
      <c r="AB264" s="0" t="s">
        <v>50</v>
      </c>
      <c r="AC264" s="0" t="s">
        <v>53</v>
      </c>
      <c r="AD264" s="0" t="s">
        <v>54</v>
      </c>
      <c r="AE264" s="0" t="s">
        <v>1637</v>
      </c>
      <c r="AF264" s="0" t="s">
        <v>1638</v>
      </c>
      <c r="AG264" s="0" t="s">
        <v>1639</v>
      </c>
      <c r="AH264" s="0" t="s">
        <v>50</v>
      </c>
      <c r="AI264" s="0" t="s">
        <v>50</v>
      </c>
      <c r="AJ264" s="0" t="s">
        <v>50</v>
      </c>
      <c r="AK264" s="0" t="s">
        <v>50</v>
      </c>
      <c r="AL264" s="0" t="s">
        <v>50</v>
      </c>
    </row>
    <row r="265" customFormat="false" ht="13.8" hidden="false" customHeight="false" outlineLevel="0" collapsed="false">
      <c r="B265" s="0" t="str">
        <f aca="false">HYPERLINK("https://genome.ucsc.edu/cgi-bin/hgTracks?db=hg19&amp;position=chr22%3A30887555%2D30887555", "chr22:30887555")</f>
        <v>chr22:30887555</v>
      </c>
      <c r="C265" s="0" t="s">
        <v>297</v>
      </c>
      <c r="D265" s="0" t="n">
        <v>30887555</v>
      </c>
      <c r="E265" s="0" t="n">
        <v>30887555</v>
      </c>
      <c r="F265" s="0" t="s">
        <v>39</v>
      </c>
      <c r="G265" s="0" t="s">
        <v>40</v>
      </c>
      <c r="H265" s="0" t="s">
        <v>1640</v>
      </c>
      <c r="I265" s="0" t="s">
        <v>655</v>
      </c>
      <c r="J265" s="0" t="s">
        <v>1641</v>
      </c>
      <c r="K265" s="0" t="s">
        <v>50</v>
      </c>
      <c r="L265" s="0" t="str">
        <f aca="false">HYPERLINK("https://www.ncbi.nlm.nih.gov/snp/rs76073588", "rs76073588")</f>
        <v>rs76073588</v>
      </c>
      <c r="M265" s="0" t="str">
        <f aca="false">HYPERLINK("https://www.genecards.org/Search/Keyword?queryString=%5Baliases%5D(%20SEC14L4%20)&amp;keywords=SEC14L4", "SEC14L4")</f>
        <v>SEC14L4</v>
      </c>
      <c r="N265" s="0" t="s">
        <v>347</v>
      </c>
      <c r="O265" s="0" t="s">
        <v>50</v>
      </c>
      <c r="P265" s="0" t="s">
        <v>50</v>
      </c>
      <c r="Q265" s="0" t="n">
        <v>0.0248</v>
      </c>
      <c r="R265" s="0" t="n">
        <v>0.0279</v>
      </c>
      <c r="S265" s="0" t="n">
        <v>0.0245</v>
      </c>
      <c r="T265" s="0" t="n">
        <v>-1</v>
      </c>
      <c r="U265" s="0" t="n">
        <v>0.0301</v>
      </c>
      <c r="V265" s="0" t="s">
        <v>50</v>
      </c>
      <c r="W265" s="0" t="s">
        <v>49</v>
      </c>
      <c r="X265" s="0" t="s">
        <v>49</v>
      </c>
      <c r="Y265" s="0" t="s">
        <v>67</v>
      </c>
      <c r="Z265" s="0" t="s">
        <v>50</v>
      </c>
      <c r="AA265" s="0" t="s">
        <v>50</v>
      </c>
      <c r="AB265" s="0" t="s">
        <v>50</v>
      </c>
      <c r="AC265" s="0" t="s">
        <v>53</v>
      </c>
      <c r="AD265" s="0" t="s">
        <v>54</v>
      </c>
      <c r="AE265" s="0" t="s">
        <v>1642</v>
      </c>
      <c r="AF265" s="0" t="s">
        <v>1643</v>
      </c>
      <c r="AG265" s="0" t="s">
        <v>1644</v>
      </c>
      <c r="AH265" s="0" t="s">
        <v>50</v>
      </c>
      <c r="AI265" s="0" t="s">
        <v>50</v>
      </c>
      <c r="AJ265" s="0" t="s">
        <v>50</v>
      </c>
      <c r="AK265" s="0" t="s">
        <v>50</v>
      </c>
      <c r="AL265" s="0" t="s">
        <v>474</v>
      </c>
    </row>
    <row r="266" customFormat="false" ht="13.8" hidden="false" customHeight="false" outlineLevel="0" collapsed="false">
      <c r="B266" s="0" t="str">
        <f aca="false">HYPERLINK("https://genome.ucsc.edu/cgi-bin/hgTracks?db=hg19&amp;position=chr22%3A36696030%2D36696030", "chr22:36696030")</f>
        <v>chr22:36696030</v>
      </c>
      <c r="C266" s="0" t="s">
        <v>297</v>
      </c>
      <c r="D266" s="0" t="n">
        <v>36696030</v>
      </c>
      <c r="E266" s="0" t="n">
        <v>36696030</v>
      </c>
      <c r="F266" s="0" t="s">
        <v>40</v>
      </c>
      <c r="G266" s="0" t="s">
        <v>39</v>
      </c>
      <c r="H266" s="0" t="s">
        <v>1186</v>
      </c>
      <c r="I266" s="0" t="s">
        <v>801</v>
      </c>
      <c r="J266" s="0" t="s">
        <v>1645</v>
      </c>
      <c r="K266" s="0" t="s">
        <v>50</v>
      </c>
      <c r="L266" s="0" t="str">
        <f aca="false">HYPERLINK("https://www.ncbi.nlm.nih.gov/snp/rs539865185", "rs539865185")</f>
        <v>rs539865185</v>
      </c>
      <c r="M266" s="0" t="str">
        <f aca="false">HYPERLINK("https://www.genecards.org/Search/Keyword?queryString=%5Baliases%5D(%20MYH9%20)&amp;keywords=MYH9", "MYH9")</f>
        <v>MYH9</v>
      </c>
      <c r="N266" s="0" t="s">
        <v>80</v>
      </c>
      <c r="O266" s="0" t="s">
        <v>50</v>
      </c>
      <c r="P266" s="0" t="s">
        <v>50</v>
      </c>
      <c r="Q266" s="0" t="n">
        <v>0.0172</v>
      </c>
      <c r="R266" s="0" t="n">
        <v>0.0033</v>
      </c>
      <c r="S266" s="0" t="n">
        <v>0.0034</v>
      </c>
      <c r="T266" s="0" t="n">
        <v>-1</v>
      </c>
      <c r="U266" s="0" t="n">
        <v>0.0035</v>
      </c>
      <c r="V266" s="0" t="s">
        <v>50</v>
      </c>
      <c r="W266" s="0" t="s">
        <v>50</v>
      </c>
      <c r="X266" s="0" t="s">
        <v>49</v>
      </c>
      <c r="Y266" s="0" t="s">
        <v>82</v>
      </c>
      <c r="Z266" s="0" t="s">
        <v>50</v>
      </c>
      <c r="AA266" s="0" t="s">
        <v>50</v>
      </c>
      <c r="AB266" s="0" t="s">
        <v>50</v>
      </c>
      <c r="AC266" s="0" t="s">
        <v>53</v>
      </c>
      <c r="AD266" s="0" t="s">
        <v>54</v>
      </c>
      <c r="AE266" s="0" t="s">
        <v>1646</v>
      </c>
      <c r="AF266" s="0" t="s">
        <v>1647</v>
      </c>
      <c r="AG266" s="0" t="s">
        <v>1648</v>
      </c>
      <c r="AH266" s="0" t="s">
        <v>1649</v>
      </c>
      <c r="AI266" s="0" t="s">
        <v>50</v>
      </c>
      <c r="AJ266" s="0" t="s">
        <v>50</v>
      </c>
      <c r="AK266" s="0" t="s">
        <v>50</v>
      </c>
      <c r="AL266" s="0" t="s">
        <v>50</v>
      </c>
    </row>
    <row r="267" customFormat="false" ht="13.8" hidden="false" customHeight="false" outlineLevel="0" collapsed="false">
      <c r="B267" s="0" t="str">
        <f aca="false">HYPERLINK("https://genome.ucsc.edu/cgi-bin/hgTracks?db=hg19&amp;position=chr22%3A41575884%2D41575888", "chr22:41575884")</f>
        <v>chr22:41575884</v>
      </c>
      <c r="C267" s="0" t="s">
        <v>297</v>
      </c>
      <c r="D267" s="0" t="n">
        <v>41575884</v>
      </c>
      <c r="E267" s="0" t="n">
        <v>41575888</v>
      </c>
      <c r="F267" s="0" t="s">
        <v>1650</v>
      </c>
      <c r="G267" s="0" t="s">
        <v>1562</v>
      </c>
      <c r="H267" s="0" t="s">
        <v>1651</v>
      </c>
      <c r="I267" s="0" t="s">
        <v>1652</v>
      </c>
      <c r="J267" s="0" t="s">
        <v>1653</v>
      </c>
      <c r="K267" s="0" t="s">
        <v>50</v>
      </c>
      <c r="L267" s="0" t="s">
        <v>50</v>
      </c>
      <c r="M267" s="0" t="str">
        <f aca="false">HYPERLINK("https://www.genecards.org/Search/Keyword?queryString=%5Baliases%5D(%20EP300%20)&amp;keywords=EP300", "EP300")</f>
        <v>EP300</v>
      </c>
      <c r="N267" s="0" t="s">
        <v>282</v>
      </c>
      <c r="O267" s="0" t="s">
        <v>50</v>
      </c>
      <c r="P267" s="0" t="s">
        <v>1654</v>
      </c>
      <c r="Q267" s="0" t="n">
        <v>-1</v>
      </c>
      <c r="R267" s="0" t="n">
        <v>-1</v>
      </c>
      <c r="S267" s="0" t="n">
        <v>-1</v>
      </c>
      <c r="T267" s="0" t="n">
        <v>-1</v>
      </c>
      <c r="U267" s="0" t="n">
        <v>-1</v>
      </c>
      <c r="V267" s="0" t="s">
        <v>50</v>
      </c>
      <c r="W267" s="0" t="s">
        <v>50</v>
      </c>
      <c r="X267" s="0" t="s">
        <v>50</v>
      </c>
      <c r="Y267" s="0" t="s">
        <v>50</v>
      </c>
      <c r="Z267" s="0" t="s">
        <v>50</v>
      </c>
      <c r="AA267" s="0" t="s">
        <v>50</v>
      </c>
      <c r="AB267" s="0" t="s">
        <v>50</v>
      </c>
      <c r="AC267" s="0" t="s">
        <v>455</v>
      </c>
      <c r="AD267" s="0" t="s">
        <v>302</v>
      </c>
      <c r="AE267" s="0" t="s">
        <v>303</v>
      </c>
      <c r="AF267" s="0" t="s">
        <v>304</v>
      </c>
      <c r="AG267" s="0" t="s">
        <v>305</v>
      </c>
      <c r="AH267" s="0" t="s">
        <v>306</v>
      </c>
      <c r="AI267" s="0" t="s">
        <v>50</v>
      </c>
      <c r="AJ267" s="0" t="s">
        <v>50</v>
      </c>
      <c r="AK267" s="0" t="s">
        <v>50</v>
      </c>
      <c r="AL267" s="0" t="s">
        <v>50</v>
      </c>
    </row>
    <row r="268" customFormat="false" ht="13.8" hidden="false" customHeight="false" outlineLevel="0" collapsed="false">
      <c r="B268" s="0" t="str">
        <f aca="false">HYPERLINK("https://genome.ucsc.edu/cgi-bin/hgTracks?db=hg19&amp;position=chr22%3A41575884%2D41575892", "chr22:41575884")</f>
        <v>chr22:41575884</v>
      </c>
      <c r="C268" s="0" t="s">
        <v>297</v>
      </c>
      <c r="D268" s="0" t="n">
        <v>41575884</v>
      </c>
      <c r="E268" s="0" t="n">
        <v>41575892</v>
      </c>
      <c r="F268" s="0" t="s">
        <v>1655</v>
      </c>
      <c r="G268" s="0" t="s">
        <v>308</v>
      </c>
      <c r="H268" s="0" t="s">
        <v>1656</v>
      </c>
      <c r="I268" s="0" t="s">
        <v>990</v>
      </c>
      <c r="J268" s="0" t="s">
        <v>1657</v>
      </c>
      <c r="K268" s="0" t="s">
        <v>50</v>
      </c>
      <c r="L268" s="0" t="s">
        <v>50</v>
      </c>
      <c r="M268" s="0" t="str">
        <f aca="false">HYPERLINK("https://www.genecards.org/Search/Keyword?queryString=%5Baliases%5D(%20EP300%20)&amp;keywords=EP300", "EP300")</f>
        <v>EP300</v>
      </c>
      <c r="N268" s="0" t="s">
        <v>282</v>
      </c>
      <c r="O268" s="0" t="s">
        <v>50</v>
      </c>
      <c r="P268" s="0" t="s">
        <v>1658</v>
      </c>
      <c r="Q268" s="0" t="n">
        <v>0.0105</v>
      </c>
      <c r="R268" s="0" t="n">
        <v>0.0073</v>
      </c>
      <c r="S268" s="0" t="n">
        <v>0.0071</v>
      </c>
      <c r="T268" s="0" t="n">
        <v>-1</v>
      </c>
      <c r="U268" s="0" t="n">
        <v>0.0034</v>
      </c>
      <c r="V268" s="0" t="s">
        <v>50</v>
      </c>
      <c r="W268" s="0" t="s">
        <v>50</v>
      </c>
      <c r="X268" s="0" t="s">
        <v>50</v>
      </c>
      <c r="Y268" s="0" t="s">
        <v>50</v>
      </c>
      <c r="Z268" s="0" t="s">
        <v>50</v>
      </c>
      <c r="AA268" s="0" t="s">
        <v>50</v>
      </c>
      <c r="AB268" s="0" t="s">
        <v>50</v>
      </c>
      <c r="AC268" s="0" t="s">
        <v>53</v>
      </c>
      <c r="AD268" s="0" t="s">
        <v>302</v>
      </c>
      <c r="AE268" s="0" t="s">
        <v>303</v>
      </c>
      <c r="AF268" s="0" t="s">
        <v>304</v>
      </c>
      <c r="AG268" s="0" t="s">
        <v>305</v>
      </c>
      <c r="AH268" s="0" t="s">
        <v>306</v>
      </c>
      <c r="AI268" s="0" t="s">
        <v>50</v>
      </c>
      <c r="AJ268" s="0" t="s">
        <v>50</v>
      </c>
      <c r="AK268" s="0" t="s">
        <v>50</v>
      </c>
      <c r="AL268" s="0" t="s">
        <v>50</v>
      </c>
    </row>
    <row r="269" customFormat="false" ht="13.8" hidden="false" customHeight="false" outlineLevel="0" collapsed="false">
      <c r="B269" s="0" t="str">
        <f aca="false">HYPERLINK("https://genome.ucsc.edu/cgi-bin/hgTracks?db=hg19&amp;position=chr22%3A41575887%2D41575888", "chr22:41575887")</f>
        <v>chr22:41575887</v>
      </c>
      <c r="C269" s="0" t="s">
        <v>297</v>
      </c>
      <c r="D269" s="0" t="n">
        <v>41575887</v>
      </c>
      <c r="E269" s="0" t="n">
        <v>41575888</v>
      </c>
      <c r="F269" s="0" t="s">
        <v>1305</v>
      </c>
      <c r="G269" s="0" t="s">
        <v>308</v>
      </c>
      <c r="H269" s="0" t="s">
        <v>1651</v>
      </c>
      <c r="I269" s="0" t="s">
        <v>1652</v>
      </c>
      <c r="J269" s="0" t="s">
        <v>1653</v>
      </c>
      <c r="K269" s="0" t="s">
        <v>50</v>
      </c>
      <c r="L269" s="0" t="s">
        <v>50</v>
      </c>
      <c r="M269" s="0" t="str">
        <f aca="false">HYPERLINK("https://www.genecards.org/Search/Keyword?queryString=%5Baliases%5D(%20EP300%20)&amp;keywords=EP300", "EP300")</f>
        <v>EP300</v>
      </c>
      <c r="N269" s="0" t="s">
        <v>282</v>
      </c>
      <c r="O269" s="0" t="s">
        <v>50</v>
      </c>
      <c r="P269" s="0" t="s">
        <v>1659</v>
      </c>
      <c r="Q269" s="0" t="n">
        <v>-1</v>
      </c>
      <c r="R269" s="0" t="n">
        <v>-1</v>
      </c>
      <c r="S269" s="0" t="n">
        <v>-1</v>
      </c>
      <c r="T269" s="0" t="n">
        <v>-1</v>
      </c>
      <c r="U269" s="0" t="n">
        <v>-1</v>
      </c>
      <c r="V269" s="0" t="s">
        <v>50</v>
      </c>
      <c r="W269" s="0" t="s">
        <v>50</v>
      </c>
      <c r="X269" s="0" t="s">
        <v>50</v>
      </c>
      <c r="Y269" s="0" t="s">
        <v>50</v>
      </c>
      <c r="Z269" s="0" t="s">
        <v>50</v>
      </c>
      <c r="AA269" s="0" t="s">
        <v>50</v>
      </c>
      <c r="AB269" s="0" t="s">
        <v>50</v>
      </c>
      <c r="AC269" s="0" t="s">
        <v>455</v>
      </c>
      <c r="AD269" s="0" t="s">
        <v>302</v>
      </c>
      <c r="AE269" s="0" t="s">
        <v>303</v>
      </c>
      <c r="AF269" s="0" t="s">
        <v>304</v>
      </c>
      <c r="AG269" s="0" t="s">
        <v>305</v>
      </c>
      <c r="AH269" s="0" t="s">
        <v>306</v>
      </c>
      <c r="AI269" s="0" t="s">
        <v>50</v>
      </c>
      <c r="AJ269" s="0" t="s">
        <v>50</v>
      </c>
      <c r="AK269" s="0" t="s">
        <v>50</v>
      </c>
      <c r="AL269" s="0" t="s">
        <v>50</v>
      </c>
    </row>
    <row r="270" customFormat="false" ht="13.8" hidden="false" customHeight="false" outlineLevel="0" collapsed="false">
      <c r="B270" s="0" t="str">
        <f aca="false">HYPERLINK("https://genome.ucsc.edu/cgi-bin/hgTracks?db=hg19&amp;position=chr22%3A41575896%2D41575896", "chr22:41575896")</f>
        <v>chr22:41575896</v>
      </c>
      <c r="C270" s="0" t="s">
        <v>297</v>
      </c>
      <c r="D270" s="0" t="n">
        <v>41575896</v>
      </c>
      <c r="E270" s="0" t="n">
        <v>41575896</v>
      </c>
      <c r="F270" s="0" t="s">
        <v>75</v>
      </c>
      <c r="G270" s="0" t="s">
        <v>39</v>
      </c>
      <c r="H270" s="0" t="s">
        <v>298</v>
      </c>
      <c r="I270" s="0" t="s">
        <v>299</v>
      </c>
      <c r="J270" s="0" t="s">
        <v>300</v>
      </c>
      <c r="K270" s="0" t="s">
        <v>50</v>
      </c>
      <c r="L270" s="0" t="s">
        <v>50</v>
      </c>
      <c r="M270" s="0" t="str">
        <f aca="false">HYPERLINK("https://www.genecards.org/Search/Keyword?queryString=%5Baliases%5D(%20EP300%20)&amp;keywords=EP300", "EP300")</f>
        <v>EP300</v>
      </c>
      <c r="N270" s="0" t="s">
        <v>282</v>
      </c>
      <c r="O270" s="0" t="s">
        <v>50</v>
      </c>
      <c r="P270" s="0" t="s">
        <v>1660</v>
      </c>
      <c r="Q270" s="0" t="n">
        <v>0.0183</v>
      </c>
      <c r="R270" s="0" t="n">
        <v>0.0142</v>
      </c>
      <c r="S270" s="0" t="n">
        <v>0.0139</v>
      </c>
      <c r="T270" s="0" t="n">
        <v>-1</v>
      </c>
      <c r="U270" s="0" t="n">
        <v>0.012</v>
      </c>
      <c r="V270" s="0" t="s">
        <v>50</v>
      </c>
      <c r="W270" s="0" t="s">
        <v>50</v>
      </c>
      <c r="X270" s="0" t="s">
        <v>50</v>
      </c>
      <c r="Y270" s="0" t="s">
        <v>50</v>
      </c>
      <c r="Z270" s="0" t="s">
        <v>50</v>
      </c>
      <c r="AA270" s="0" t="s">
        <v>50</v>
      </c>
      <c r="AB270" s="0" t="s">
        <v>50</v>
      </c>
      <c r="AC270" s="0" t="s">
        <v>53</v>
      </c>
      <c r="AD270" s="0" t="s">
        <v>302</v>
      </c>
      <c r="AE270" s="0" t="s">
        <v>303</v>
      </c>
      <c r="AF270" s="0" t="s">
        <v>304</v>
      </c>
      <c r="AG270" s="0" t="s">
        <v>305</v>
      </c>
      <c r="AH270" s="0" t="s">
        <v>306</v>
      </c>
      <c r="AI270" s="0" t="s">
        <v>50</v>
      </c>
      <c r="AJ270" s="0" t="s">
        <v>50</v>
      </c>
      <c r="AK270" s="0" t="s">
        <v>50</v>
      </c>
      <c r="AL270" s="0" t="s">
        <v>50</v>
      </c>
    </row>
    <row r="271" customFormat="false" ht="13.8" hidden="false" customHeight="false" outlineLevel="0" collapsed="false">
      <c r="B271" s="0" t="str">
        <f aca="false">HYPERLINK("https://genome.ucsc.edu/cgi-bin/hgTracks?db=hg19&amp;position=chr22%3A41575900%2D41575900", "chr22:41575900")</f>
        <v>chr22:41575900</v>
      </c>
      <c r="C271" s="0" t="s">
        <v>297</v>
      </c>
      <c r="D271" s="0" t="n">
        <v>41575900</v>
      </c>
      <c r="E271" s="0" t="n">
        <v>41575900</v>
      </c>
      <c r="F271" s="0" t="s">
        <v>75</v>
      </c>
      <c r="G271" s="0" t="s">
        <v>39</v>
      </c>
      <c r="H271" s="0" t="s">
        <v>298</v>
      </c>
      <c r="I271" s="0" t="s">
        <v>299</v>
      </c>
      <c r="J271" s="0" t="s">
        <v>300</v>
      </c>
      <c r="K271" s="0" t="s">
        <v>50</v>
      </c>
      <c r="L271" s="0" t="str">
        <f aca="false">HYPERLINK("https://www.ncbi.nlm.nih.gov/snp/rs766627654", "rs766627654")</f>
        <v>rs766627654</v>
      </c>
      <c r="M271" s="0" t="str">
        <f aca="false">HYPERLINK("https://www.genecards.org/Search/Keyword?queryString=%5Baliases%5D(%20EP300%20)&amp;keywords=EP300", "EP300")</f>
        <v>EP300</v>
      </c>
      <c r="N271" s="0" t="s">
        <v>282</v>
      </c>
      <c r="O271" s="0" t="s">
        <v>50</v>
      </c>
      <c r="P271" s="0" t="s">
        <v>1661</v>
      </c>
      <c r="Q271" s="0" t="n">
        <v>0.0051</v>
      </c>
      <c r="R271" s="0" t="n">
        <v>0.0043</v>
      </c>
      <c r="S271" s="0" t="n">
        <v>0.0055</v>
      </c>
      <c r="T271" s="0" t="n">
        <v>-1</v>
      </c>
      <c r="U271" s="0" t="n">
        <v>0.0029</v>
      </c>
      <c r="V271" s="0" t="s">
        <v>50</v>
      </c>
      <c r="W271" s="0" t="s">
        <v>50</v>
      </c>
      <c r="X271" s="0" t="s">
        <v>50</v>
      </c>
      <c r="Y271" s="0" t="s">
        <v>50</v>
      </c>
      <c r="Z271" s="0" t="s">
        <v>50</v>
      </c>
      <c r="AA271" s="0" t="s">
        <v>50</v>
      </c>
      <c r="AB271" s="0" t="s">
        <v>50</v>
      </c>
      <c r="AC271" s="0" t="s">
        <v>53</v>
      </c>
      <c r="AD271" s="0" t="s">
        <v>302</v>
      </c>
      <c r="AE271" s="0" t="s">
        <v>303</v>
      </c>
      <c r="AF271" s="0" t="s">
        <v>304</v>
      </c>
      <c r="AG271" s="0" t="s">
        <v>305</v>
      </c>
      <c r="AH271" s="0" t="s">
        <v>306</v>
      </c>
      <c r="AI271" s="0" t="s">
        <v>50</v>
      </c>
      <c r="AJ271" s="0" t="s">
        <v>50</v>
      </c>
      <c r="AK271" s="0" t="s">
        <v>50</v>
      </c>
      <c r="AL271" s="0" t="s">
        <v>50</v>
      </c>
    </row>
    <row r="272" customFormat="false" ht="13.8" hidden="false" customHeight="false" outlineLevel="0" collapsed="false">
      <c r="B272" s="0" t="str">
        <f aca="false">HYPERLINK("https://genome.ucsc.edu/cgi-bin/hgTracks?db=hg19&amp;position=chr22%3A44594386%2D44594386", "chr22:44594386")</f>
        <v>chr22:44594386</v>
      </c>
      <c r="C272" s="0" t="s">
        <v>297</v>
      </c>
      <c r="D272" s="0" t="n">
        <v>44594386</v>
      </c>
      <c r="E272" s="0" t="n">
        <v>44594386</v>
      </c>
      <c r="F272" s="0" t="s">
        <v>39</v>
      </c>
      <c r="G272" s="0" t="s">
        <v>40</v>
      </c>
      <c r="H272" s="0" t="s">
        <v>1662</v>
      </c>
      <c r="I272" s="0" t="s">
        <v>1052</v>
      </c>
      <c r="J272" s="0" t="s">
        <v>1053</v>
      </c>
      <c r="K272" s="0" t="s">
        <v>50</v>
      </c>
      <c r="L272" s="0" t="s">
        <v>50</v>
      </c>
      <c r="M272" s="0" t="str">
        <f aca="false">HYPERLINK("https://www.genecards.org/Search/Keyword?queryString=%5Baliases%5D(%20PARVG%20)&amp;keywords=PARVG", "PARVG")</f>
        <v>PARVG</v>
      </c>
      <c r="N272" s="0" t="s">
        <v>80</v>
      </c>
      <c r="O272" s="0" t="s">
        <v>50</v>
      </c>
      <c r="P272" s="0" t="s">
        <v>50</v>
      </c>
      <c r="Q272" s="0" t="n">
        <v>-1</v>
      </c>
      <c r="R272" s="0" t="n">
        <v>-1</v>
      </c>
      <c r="S272" s="0" t="n">
        <v>-1</v>
      </c>
      <c r="T272" s="0" t="n">
        <v>-1</v>
      </c>
      <c r="U272" s="0" t="n">
        <v>-1</v>
      </c>
      <c r="V272" s="0" t="s">
        <v>50</v>
      </c>
      <c r="W272" s="0" t="s">
        <v>50</v>
      </c>
      <c r="X272" s="0" t="s">
        <v>81</v>
      </c>
      <c r="Y272" s="0" t="s">
        <v>82</v>
      </c>
      <c r="Z272" s="0" t="s">
        <v>50</v>
      </c>
      <c r="AA272" s="0" t="s">
        <v>50</v>
      </c>
      <c r="AB272" s="0" t="s">
        <v>50</v>
      </c>
      <c r="AC272" s="0" t="s">
        <v>53</v>
      </c>
      <c r="AD272" s="0" t="s">
        <v>54</v>
      </c>
      <c r="AE272" s="0" t="s">
        <v>1663</v>
      </c>
      <c r="AF272" s="0" t="s">
        <v>1664</v>
      </c>
      <c r="AG272" s="0" t="s">
        <v>1665</v>
      </c>
      <c r="AH272" s="0" t="s">
        <v>50</v>
      </c>
      <c r="AI272" s="0" t="s">
        <v>50</v>
      </c>
      <c r="AJ272" s="0" t="s">
        <v>50</v>
      </c>
      <c r="AK272" s="0" t="s">
        <v>50</v>
      </c>
      <c r="AL272" s="0" t="s">
        <v>50</v>
      </c>
    </row>
    <row r="273" customFormat="false" ht="13.8" hidden="false" customHeight="false" outlineLevel="0" collapsed="false">
      <c r="B273" s="0" t="str">
        <f aca="false">HYPERLINK("https://genome.ucsc.edu/cgi-bin/hgTracks?db=hg19&amp;position=chr22%3A50454915%2D50454943", "chr22:50454915")</f>
        <v>chr22:50454915</v>
      </c>
      <c r="C273" s="0" t="s">
        <v>297</v>
      </c>
      <c r="D273" s="0" t="n">
        <v>50454915</v>
      </c>
      <c r="E273" s="0" t="n">
        <v>50454943</v>
      </c>
      <c r="F273" s="0" t="s">
        <v>1666</v>
      </c>
      <c r="G273" s="0" t="s">
        <v>308</v>
      </c>
      <c r="H273" s="0" t="s">
        <v>1667</v>
      </c>
      <c r="I273" s="0" t="s">
        <v>643</v>
      </c>
      <c r="J273" s="0" t="s">
        <v>1668</v>
      </c>
      <c r="K273" s="0" t="s">
        <v>50</v>
      </c>
      <c r="L273" s="0" t="str">
        <f aca="false">HYPERLINK("https://www.ncbi.nlm.nih.gov/snp/rs540321694", "rs540321694")</f>
        <v>rs540321694</v>
      </c>
      <c r="M273" s="0" t="s">
        <v>50</v>
      </c>
      <c r="N273" s="0" t="s">
        <v>478</v>
      </c>
      <c r="O273" s="0" t="s">
        <v>312</v>
      </c>
      <c r="P273" s="0" t="s">
        <v>1669</v>
      </c>
      <c r="Q273" s="0" t="n">
        <v>0.0199</v>
      </c>
      <c r="R273" s="0" t="n">
        <v>0.0191</v>
      </c>
      <c r="S273" s="0" t="n">
        <v>0.0199</v>
      </c>
      <c r="T273" s="0" t="n">
        <v>-1</v>
      </c>
      <c r="U273" s="0" t="n">
        <v>0.0207</v>
      </c>
      <c r="V273" s="0" t="s">
        <v>50</v>
      </c>
      <c r="W273" s="0" t="s">
        <v>50</v>
      </c>
      <c r="X273" s="0" t="s">
        <v>50</v>
      </c>
      <c r="Y273" s="0" t="s">
        <v>50</v>
      </c>
      <c r="Z273" s="0" t="s">
        <v>50</v>
      </c>
      <c r="AA273" s="0" t="s">
        <v>50</v>
      </c>
      <c r="AB273" s="0" t="s">
        <v>50</v>
      </c>
      <c r="AC273" s="0" t="s">
        <v>53</v>
      </c>
      <c r="AD273" s="0" t="s">
        <v>1058</v>
      </c>
      <c r="AE273" s="0" t="s">
        <v>50</v>
      </c>
      <c r="AF273" s="0" t="s">
        <v>50</v>
      </c>
      <c r="AG273" s="0" t="s">
        <v>50</v>
      </c>
      <c r="AH273" s="0" t="s">
        <v>50</v>
      </c>
      <c r="AI273" s="0" t="s">
        <v>50</v>
      </c>
      <c r="AJ273" s="0" t="s">
        <v>50</v>
      </c>
      <c r="AK273" s="0" t="s">
        <v>50</v>
      </c>
      <c r="AL273" s="0" t="s">
        <v>50</v>
      </c>
    </row>
    <row r="274" customFormat="false" ht="13.8" hidden="false" customHeight="false" outlineLevel="0" collapsed="false">
      <c r="B274" s="0" t="str">
        <f aca="false">HYPERLINK("https://genome.ucsc.edu/cgi-bin/hgTracks?db=hg19&amp;position=chr3%3A2942276%2D2942276", "chr3:2942276")</f>
        <v>chr3:2942276</v>
      </c>
      <c r="C274" s="0" t="s">
        <v>115</v>
      </c>
      <c r="D274" s="0" t="n">
        <v>2942276</v>
      </c>
      <c r="E274" s="0" t="n">
        <v>2942276</v>
      </c>
      <c r="F274" s="0" t="s">
        <v>75</v>
      </c>
      <c r="G274" s="0" t="s">
        <v>74</v>
      </c>
      <c r="H274" s="0" t="s">
        <v>482</v>
      </c>
      <c r="I274" s="0" t="s">
        <v>1652</v>
      </c>
      <c r="J274" s="0" t="s">
        <v>1670</v>
      </c>
      <c r="K274" s="0" t="s">
        <v>50</v>
      </c>
      <c r="L274" s="0" t="str">
        <f aca="false">HYPERLINK("https://www.ncbi.nlm.nih.gov/snp/rs767351397", "rs767351397")</f>
        <v>rs767351397</v>
      </c>
      <c r="M274" s="0" t="str">
        <f aca="false">HYPERLINK("https://www.genecards.org/Search/Keyword?queryString=%5Baliases%5D(%20CNTN4%20)&amp;keywords=CNTN4", "CNTN4")</f>
        <v>CNTN4</v>
      </c>
      <c r="N274" s="0" t="s">
        <v>80</v>
      </c>
      <c r="O274" s="0" t="s">
        <v>50</v>
      </c>
      <c r="P274" s="0" t="s">
        <v>50</v>
      </c>
      <c r="Q274" s="0" t="n">
        <v>0.0018</v>
      </c>
      <c r="R274" s="0" t="n">
        <v>0.001</v>
      </c>
      <c r="S274" s="0" t="n">
        <v>0.0007</v>
      </c>
      <c r="T274" s="0" t="n">
        <v>-1</v>
      </c>
      <c r="U274" s="0" t="n">
        <v>0.0014</v>
      </c>
      <c r="V274" s="0" t="s">
        <v>50</v>
      </c>
      <c r="W274" s="0" t="s">
        <v>50</v>
      </c>
      <c r="X274" s="0" t="s">
        <v>81</v>
      </c>
      <c r="Y274" s="0" t="s">
        <v>82</v>
      </c>
      <c r="Z274" s="0" t="s">
        <v>50</v>
      </c>
      <c r="AA274" s="0" t="s">
        <v>50</v>
      </c>
      <c r="AB274" s="0" t="s">
        <v>50</v>
      </c>
      <c r="AC274" s="0" t="s">
        <v>53</v>
      </c>
      <c r="AD274" s="0" t="s">
        <v>54</v>
      </c>
      <c r="AE274" s="0" t="s">
        <v>1671</v>
      </c>
      <c r="AF274" s="0" t="s">
        <v>1672</v>
      </c>
      <c r="AG274" s="0" t="s">
        <v>1673</v>
      </c>
      <c r="AH274" s="0" t="s">
        <v>1674</v>
      </c>
      <c r="AI274" s="0" t="s">
        <v>50</v>
      </c>
      <c r="AJ274" s="0" t="s">
        <v>50</v>
      </c>
      <c r="AK274" s="0" t="s">
        <v>50</v>
      </c>
      <c r="AL274" s="0" t="s">
        <v>50</v>
      </c>
    </row>
    <row r="275" customFormat="false" ht="13.8" hidden="false" customHeight="false" outlineLevel="0" collapsed="false">
      <c r="B275" s="0" t="str">
        <f aca="false">HYPERLINK("https://genome.ucsc.edu/cgi-bin/hgTracks?db=hg19&amp;position=chr3%3A46939538%2D46939538", "chr3:46939538")</f>
        <v>chr3:46939538</v>
      </c>
      <c r="C275" s="0" t="s">
        <v>115</v>
      </c>
      <c r="D275" s="0" t="n">
        <v>46939538</v>
      </c>
      <c r="E275" s="0" t="n">
        <v>46939538</v>
      </c>
      <c r="F275" s="0" t="s">
        <v>74</v>
      </c>
      <c r="G275" s="0" t="s">
        <v>75</v>
      </c>
      <c r="H275" s="0" t="s">
        <v>1675</v>
      </c>
      <c r="I275" s="0" t="s">
        <v>809</v>
      </c>
      <c r="J275" s="0" t="s">
        <v>1676</v>
      </c>
      <c r="K275" s="0" t="s">
        <v>50</v>
      </c>
      <c r="L275" s="0" t="str">
        <f aca="false">HYPERLINK("https://www.ncbi.nlm.nih.gov/snp/rs140027663", "rs140027663")</f>
        <v>rs140027663</v>
      </c>
      <c r="M275" s="0" t="str">
        <f aca="false">HYPERLINK("https://www.genecards.org/Search/Keyword?queryString=%5Baliases%5D(%20PTH1R%20)&amp;keywords=PTH1R", "PTH1R")</f>
        <v>PTH1R</v>
      </c>
      <c r="N275" s="0" t="s">
        <v>80</v>
      </c>
      <c r="O275" s="0" t="s">
        <v>50</v>
      </c>
      <c r="P275" s="0" t="s">
        <v>50</v>
      </c>
      <c r="Q275" s="0" t="n">
        <v>0.001</v>
      </c>
      <c r="R275" s="0" t="n">
        <v>0.0005</v>
      </c>
      <c r="S275" s="0" t="n">
        <v>0.0005</v>
      </c>
      <c r="T275" s="0" t="n">
        <v>-1</v>
      </c>
      <c r="U275" s="0" t="n">
        <v>-1</v>
      </c>
      <c r="V275" s="0" t="s">
        <v>50</v>
      </c>
      <c r="W275" s="0" t="s">
        <v>50</v>
      </c>
      <c r="X275" s="0" t="s">
        <v>81</v>
      </c>
      <c r="Y275" s="0" t="s">
        <v>82</v>
      </c>
      <c r="Z275" s="0" t="s">
        <v>50</v>
      </c>
      <c r="AA275" s="0" t="s">
        <v>50</v>
      </c>
      <c r="AB275" s="0" t="s">
        <v>50</v>
      </c>
      <c r="AC275" s="0" t="s">
        <v>53</v>
      </c>
      <c r="AD275" s="0" t="s">
        <v>54</v>
      </c>
      <c r="AE275" s="0" t="s">
        <v>1677</v>
      </c>
      <c r="AF275" s="0" t="s">
        <v>1678</v>
      </c>
      <c r="AG275" s="0" t="s">
        <v>1679</v>
      </c>
      <c r="AH275" s="0" t="s">
        <v>1680</v>
      </c>
      <c r="AI275" s="0" t="s">
        <v>50</v>
      </c>
      <c r="AJ275" s="0" t="s">
        <v>50</v>
      </c>
      <c r="AK275" s="0" t="s">
        <v>50</v>
      </c>
      <c r="AL275" s="0" t="s">
        <v>50</v>
      </c>
    </row>
    <row r="276" customFormat="false" ht="13.8" hidden="false" customHeight="false" outlineLevel="0" collapsed="false">
      <c r="B276" s="0" t="str">
        <f aca="false">HYPERLINK("https://genome.ucsc.edu/cgi-bin/hgTracks?db=hg19&amp;position=chr3%3A48636917%2D48636917", "chr3:48636917")</f>
        <v>chr3:48636917</v>
      </c>
      <c r="C276" s="0" t="s">
        <v>115</v>
      </c>
      <c r="D276" s="0" t="n">
        <v>48636917</v>
      </c>
      <c r="E276" s="0" t="n">
        <v>48636917</v>
      </c>
      <c r="F276" s="0" t="s">
        <v>40</v>
      </c>
      <c r="G276" s="0" t="s">
        <v>74</v>
      </c>
      <c r="H276" s="0" t="s">
        <v>891</v>
      </c>
      <c r="I276" s="0" t="s">
        <v>876</v>
      </c>
      <c r="J276" s="0" t="s">
        <v>1681</v>
      </c>
      <c r="K276" s="0" t="s">
        <v>50</v>
      </c>
      <c r="L276" s="0" t="s">
        <v>50</v>
      </c>
      <c r="M276" s="0" t="str">
        <f aca="false">HYPERLINK("https://www.genecards.org/Search/Keyword?queryString=%5Baliases%5D(%20UQCRC1%20)&amp;keywords=UQCRC1", "UQCRC1")</f>
        <v>UQCRC1</v>
      </c>
      <c r="N276" s="0" t="s">
        <v>80</v>
      </c>
      <c r="O276" s="0" t="s">
        <v>50</v>
      </c>
      <c r="P276" s="0" t="s">
        <v>50</v>
      </c>
      <c r="Q276" s="0" t="n">
        <v>7.197E-005</v>
      </c>
      <c r="R276" s="0" t="n">
        <v>-1</v>
      </c>
      <c r="S276" s="0" t="n">
        <v>7.368E-005</v>
      </c>
      <c r="T276" s="0" t="n">
        <v>-1</v>
      </c>
      <c r="U276" s="0" t="n">
        <v>-1</v>
      </c>
      <c r="V276" s="0" t="s">
        <v>50</v>
      </c>
      <c r="W276" s="0" t="s">
        <v>50</v>
      </c>
      <c r="X276" s="0" t="s">
        <v>81</v>
      </c>
      <c r="Y276" s="0" t="s">
        <v>82</v>
      </c>
      <c r="Z276" s="0" t="s">
        <v>50</v>
      </c>
      <c r="AA276" s="0" t="s">
        <v>50</v>
      </c>
      <c r="AB276" s="0" t="s">
        <v>50</v>
      </c>
      <c r="AC276" s="0" t="s">
        <v>53</v>
      </c>
      <c r="AD276" s="0" t="s">
        <v>54</v>
      </c>
      <c r="AE276" s="0" t="s">
        <v>1682</v>
      </c>
      <c r="AF276" s="0" t="s">
        <v>1683</v>
      </c>
      <c r="AG276" s="0" t="s">
        <v>1684</v>
      </c>
      <c r="AH276" s="0" t="s">
        <v>50</v>
      </c>
      <c r="AI276" s="0" t="s">
        <v>50</v>
      </c>
      <c r="AJ276" s="0" t="s">
        <v>50</v>
      </c>
      <c r="AK276" s="0" t="s">
        <v>50</v>
      </c>
      <c r="AL276" s="0" t="s">
        <v>50</v>
      </c>
    </row>
    <row r="277" customFormat="false" ht="13.8" hidden="false" customHeight="false" outlineLevel="0" collapsed="false">
      <c r="B277" s="0" t="str">
        <f aca="false">HYPERLINK("https://genome.ucsc.edu/cgi-bin/hgTracks?db=hg19&amp;position=chr3%3A51456076%2D51456076", "chr3:51456076")</f>
        <v>chr3:51456076</v>
      </c>
      <c r="C277" s="0" t="s">
        <v>115</v>
      </c>
      <c r="D277" s="0" t="n">
        <v>51456076</v>
      </c>
      <c r="E277" s="0" t="n">
        <v>51456076</v>
      </c>
      <c r="F277" s="0" t="s">
        <v>74</v>
      </c>
      <c r="G277" s="0" t="s">
        <v>39</v>
      </c>
      <c r="H277" s="0" t="s">
        <v>1685</v>
      </c>
      <c r="I277" s="0" t="s">
        <v>1333</v>
      </c>
      <c r="J277" s="0" t="s">
        <v>1686</v>
      </c>
      <c r="K277" s="0" t="s">
        <v>50</v>
      </c>
      <c r="L277" s="0" t="str">
        <f aca="false">HYPERLINK("https://www.ncbi.nlm.nih.gov/snp/rs146589103", "rs146589103")</f>
        <v>rs146589103</v>
      </c>
      <c r="M277" s="0" t="str">
        <f aca="false">HYPERLINK("https://www.genecards.org/Search/Keyword?queryString=%5Baliases%5D(%20DCAF1%20)%20OR%20%5Baliases%5D(%20VPRBP%20)&amp;keywords=DCAF1,VPRBP", "DCAF1;VPRBP")</f>
        <v>DCAF1;VPRBP</v>
      </c>
      <c r="N277" s="0" t="s">
        <v>80</v>
      </c>
      <c r="O277" s="0" t="s">
        <v>50</v>
      </c>
      <c r="P277" s="0" t="s">
        <v>50</v>
      </c>
      <c r="Q277" s="0" t="n">
        <v>0.0265</v>
      </c>
      <c r="R277" s="0" t="n">
        <v>0.022</v>
      </c>
      <c r="S277" s="0" t="n">
        <v>0.023</v>
      </c>
      <c r="T277" s="0" t="n">
        <v>-1</v>
      </c>
      <c r="U277" s="0" t="n">
        <v>0.0239</v>
      </c>
      <c r="V277" s="0" t="s">
        <v>50</v>
      </c>
      <c r="W277" s="0" t="s">
        <v>50</v>
      </c>
      <c r="X277" s="0" t="s">
        <v>81</v>
      </c>
      <c r="Y277" s="0" t="s">
        <v>82</v>
      </c>
      <c r="Z277" s="0" t="s">
        <v>50</v>
      </c>
      <c r="AA277" s="0" t="s">
        <v>50</v>
      </c>
      <c r="AB277" s="0" t="s">
        <v>50</v>
      </c>
      <c r="AC277" s="0" t="s">
        <v>53</v>
      </c>
      <c r="AD277" s="0" t="s">
        <v>157</v>
      </c>
      <c r="AE277" s="0" t="s">
        <v>50</v>
      </c>
      <c r="AF277" s="0" t="s">
        <v>1687</v>
      </c>
      <c r="AG277" s="0" t="s">
        <v>1688</v>
      </c>
      <c r="AH277" s="0" t="s">
        <v>50</v>
      </c>
      <c r="AI277" s="0" t="s">
        <v>50</v>
      </c>
      <c r="AJ277" s="0" t="s">
        <v>50</v>
      </c>
      <c r="AK277" s="0" t="s">
        <v>50</v>
      </c>
      <c r="AL277" s="0" t="s">
        <v>50</v>
      </c>
    </row>
    <row r="278" customFormat="false" ht="13.8" hidden="false" customHeight="false" outlineLevel="0" collapsed="false">
      <c r="B278" s="0" t="str">
        <f aca="false">HYPERLINK("https://genome.ucsc.edu/cgi-bin/hgTracks?db=hg19&amp;position=chr3%3A60602847%2D60602847", "chr3:60602847")</f>
        <v>chr3:60602847</v>
      </c>
      <c r="C278" s="0" t="s">
        <v>115</v>
      </c>
      <c r="D278" s="0" t="n">
        <v>60602847</v>
      </c>
      <c r="E278" s="0" t="n">
        <v>60602847</v>
      </c>
      <c r="F278" s="0" t="s">
        <v>40</v>
      </c>
      <c r="G278" s="0" t="s">
        <v>39</v>
      </c>
      <c r="H278" s="0" t="s">
        <v>1689</v>
      </c>
      <c r="I278" s="0" t="s">
        <v>898</v>
      </c>
      <c r="J278" s="0" t="s">
        <v>1690</v>
      </c>
      <c r="K278" s="0" t="s">
        <v>50</v>
      </c>
      <c r="L278" s="0" t="str">
        <f aca="false">HYPERLINK("https://www.ncbi.nlm.nih.gov/snp/rs138496752", "rs138496752")</f>
        <v>rs138496752</v>
      </c>
      <c r="M278" s="0" t="str">
        <f aca="false">HYPERLINK("https://www.genecards.org/Search/Keyword?queryString=%5Baliases%5D(%20FHIT%20)&amp;keywords=FHIT", "FHIT")</f>
        <v>FHIT</v>
      </c>
      <c r="N278" s="0" t="s">
        <v>390</v>
      </c>
      <c r="O278" s="0" t="s">
        <v>50</v>
      </c>
      <c r="P278" s="0" t="s">
        <v>50</v>
      </c>
      <c r="Q278" s="0" t="n">
        <v>0.0207</v>
      </c>
      <c r="R278" s="0" t="n">
        <v>0.0116</v>
      </c>
      <c r="S278" s="0" t="n">
        <v>0.0121</v>
      </c>
      <c r="T278" s="0" t="n">
        <v>-1</v>
      </c>
      <c r="U278" s="0" t="n">
        <v>0.0136</v>
      </c>
      <c r="V278" s="0" t="s">
        <v>50</v>
      </c>
      <c r="W278" s="0" t="s">
        <v>50</v>
      </c>
      <c r="X278" s="0" t="s">
        <v>50</v>
      </c>
      <c r="Y278" s="0" t="s">
        <v>50</v>
      </c>
      <c r="Z278" s="0" t="s">
        <v>50</v>
      </c>
      <c r="AA278" s="0" t="s">
        <v>50</v>
      </c>
      <c r="AB278" s="0" t="s">
        <v>50</v>
      </c>
      <c r="AC278" s="0" t="s">
        <v>53</v>
      </c>
      <c r="AD278" s="0" t="s">
        <v>54</v>
      </c>
      <c r="AE278" s="0" t="s">
        <v>1691</v>
      </c>
      <c r="AF278" s="0" t="s">
        <v>1692</v>
      </c>
      <c r="AG278" s="0" t="s">
        <v>1693</v>
      </c>
      <c r="AH278" s="0" t="s">
        <v>1694</v>
      </c>
      <c r="AI278" s="0" t="s">
        <v>50</v>
      </c>
      <c r="AJ278" s="0" t="s">
        <v>50</v>
      </c>
      <c r="AK278" s="0" t="s">
        <v>50</v>
      </c>
      <c r="AL278" s="0" t="s">
        <v>50</v>
      </c>
    </row>
    <row r="279" customFormat="false" ht="13.8" hidden="false" customHeight="false" outlineLevel="0" collapsed="false">
      <c r="B279" s="0" t="str">
        <f aca="false">HYPERLINK("https://genome.ucsc.edu/cgi-bin/hgTracks?db=hg19&amp;position=chr3%3A97167321%2D97167321", "chr3:97167321")</f>
        <v>chr3:97167321</v>
      </c>
      <c r="C279" s="0" t="s">
        <v>115</v>
      </c>
      <c r="D279" s="0" t="n">
        <v>97167321</v>
      </c>
      <c r="E279" s="0" t="n">
        <v>97167321</v>
      </c>
      <c r="F279" s="0" t="s">
        <v>74</v>
      </c>
      <c r="G279" s="0" t="s">
        <v>75</v>
      </c>
      <c r="H279" s="0" t="s">
        <v>1695</v>
      </c>
      <c r="I279" s="0" t="s">
        <v>1121</v>
      </c>
      <c r="J279" s="0" t="s">
        <v>1696</v>
      </c>
      <c r="K279" s="0" t="s">
        <v>50</v>
      </c>
      <c r="L279" s="0" t="str">
        <f aca="false">HYPERLINK("https://www.ncbi.nlm.nih.gov/snp/rs576647440", "rs576647440")</f>
        <v>rs576647440</v>
      </c>
      <c r="M279" s="0" t="str">
        <f aca="false">HYPERLINK("https://www.genecards.org/Search/Keyword?queryString=%5Baliases%5D(%20EPHA6%20)&amp;keywords=EPHA6", "EPHA6")</f>
        <v>EPHA6</v>
      </c>
      <c r="N279" s="0" t="s">
        <v>80</v>
      </c>
      <c r="O279" s="0" t="s">
        <v>50</v>
      </c>
      <c r="P279" s="0" t="s">
        <v>50</v>
      </c>
      <c r="Q279" s="0" t="n">
        <v>0.001647</v>
      </c>
      <c r="R279" s="0" t="n">
        <v>0.0004</v>
      </c>
      <c r="S279" s="0" t="n">
        <v>0.0003</v>
      </c>
      <c r="T279" s="0" t="n">
        <v>-1</v>
      </c>
      <c r="U279" s="0" t="n">
        <v>0.0004</v>
      </c>
      <c r="V279" s="0" t="s">
        <v>50</v>
      </c>
      <c r="W279" s="0" t="s">
        <v>50</v>
      </c>
      <c r="X279" s="0" t="s">
        <v>81</v>
      </c>
      <c r="Y279" s="0" t="s">
        <v>82</v>
      </c>
      <c r="Z279" s="0" t="s">
        <v>50</v>
      </c>
      <c r="AA279" s="0" t="s">
        <v>50</v>
      </c>
      <c r="AB279" s="0" t="s">
        <v>50</v>
      </c>
      <c r="AC279" s="0" t="s">
        <v>53</v>
      </c>
      <c r="AD279" s="0" t="s">
        <v>54</v>
      </c>
      <c r="AE279" s="0" t="s">
        <v>1697</v>
      </c>
      <c r="AF279" s="0" t="s">
        <v>1698</v>
      </c>
      <c r="AG279" s="0" t="s">
        <v>1699</v>
      </c>
      <c r="AH279" s="0" t="s">
        <v>50</v>
      </c>
      <c r="AI279" s="0" t="s">
        <v>50</v>
      </c>
      <c r="AJ279" s="0" t="s">
        <v>50</v>
      </c>
      <c r="AK279" s="0" t="s">
        <v>50</v>
      </c>
      <c r="AL279" s="0" t="s">
        <v>50</v>
      </c>
    </row>
    <row r="280" customFormat="false" ht="13.8" hidden="false" customHeight="false" outlineLevel="0" collapsed="false">
      <c r="B280" s="0" t="str">
        <f aca="false">HYPERLINK("https://genome.ucsc.edu/cgi-bin/hgTracks?db=hg19&amp;position=chr3%3A100583651%2D100583651", "chr3:100583651")</f>
        <v>chr3:100583651</v>
      </c>
      <c r="C280" s="0" t="s">
        <v>115</v>
      </c>
      <c r="D280" s="0" t="n">
        <v>100583651</v>
      </c>
      <c r="E280" s="0" t="n">
        <v>100583651</v>
      </c>
      <c r="F280" s="0" t="s">
        <v>308</v>
      </c>
      <c r="G280" s="0" t="s">
        <v>75</v>
      </c>
      <c r="H280" s="0" t="s">
        <v>1700</v>
      </c>
      <c r="I280" s="0" t="s">
        <v>138</v>
      </c>
      <c r="J280" s="0" t="s">
        <v>1701</v>
      </c>
      <c r="K280" s="0" t="s">
        <v>50</v>
      </c>
      <c r="L280" s="0" t="str">
        <f aca="false">HYPERLINK("https://www.ncbi.nlm.nih.gov/snp/rs777470177", "rs777470177")</f>
        <v>rs777470177</v>
      </c>
      <c r="M280" s="0" t="str">
        <f aca="false">HYPERLINK("https://www.genecards.org/Search/Keyword?queryString=%5Baliases%5D(%20ABI3BP%20)&amp;keywords=ABI3BP", "ABI3BP")</f>
        <v>ABI3BP</v>
      </c>
      <c r="N280" s="0" t="s">
        <v>691</v>
      </c>
      <c r="O280" s="0" t="s">
        <v>453</v>
      </c>
      <c r="P280" s="0" t="s">
        <v>1702</v>
      </c>
      <c r="Q280" s="0" t="n">
        <v>0.009363</v>
      </c>
      <c r="R280" s="0" t="n">
        <v>0.0008</v>
      </c>
      <c r="S280" s="0" t="n">
        <v>0.0007</v>
      </c>
      <c r="T280" s="0" t="n">
        <v>-1</v>
      </c>
      <c r="U280" s="0" t="n">
        <v>0.0005</v>
      </c>
      <c r="V280" s="0" t="s">
        <v>50</v>
      </c>
      <c r="W280" s="0" t="s">
        <v>50</v>
      </c>
      <c r="X280" s="0" t="s">
        <v>50</v>
      </c>
      <c r="Y280" s="0" t="s">
        <v>50</v>
      </c>
      <c r="Z280" s="0" t="s">
        <v>50</v>
      </c>
      <c r="AA280" s="0" t="s">
        <v>50</v>
      </c>
      <c r="AB280" s="0" t="s">
        <v>50</v>
      </c>
      <c r="AC280" s="0" t="s">
        <v>53</v>
      </c>
      <c r="AD280" s="0" t="s">
        <v>54</v>
      </c>
      <c r="AE280" s="0" t="s">
        <v>1703</v>
      </c>
      <c r="AF280" s="0" t="s">
        <v>1704</v>
      </c>
      <c r="AG280" s="0" t="s">
        <v>50</v>
      </c>
      <c r="AH280" s="0" t="s">
        <v>50</v>
      </c>
      <c r="AI280" s="0" t="s">
        <v>50</v>
      </c>
      <c r="AJ280" s="0" t="s">
        <v>50</v>
      </c>
      <c r="AK280" s="0" t="s">
        <v>50</v>
      </c>
      <c r="AL280" s="0" t="s">
        <v>50</v>
      </c>
    </row>
    <row r="281" customFormat="false" ht="13.8" hidden="false" customHeight="false" outlineLevel="0" collapsed="false">
      <c r="B281" s="0" t="str">
        <f aca="false">HYPERLINK("https://genome.ucsc.edu/cgi-bin/hgTracks?db=hg19&amp;position=chr3%3A112329033%2D112329033", "chr3:112329033")</f>
        <v>chr3:112329033</v>
      </c>
      <c r="C281" s="0" t="s">
        <v>115</v>
      </c>
      <c r="D281" s="0" t="n">
        <v>112329033</v>
      </c>
      <c r="E281" s="0" t="n">
        <v>112329033</v>
      </c>
      <c r="F281" s="0" t="s">
        <v>308</v>
      </c>
      <c r="G281" s="0" t="s">
        <v>75</v>
      </c>
      <c r="H281" s="0" t="s">
        <v>1705</v>
      </c>
      <c r="I281" s="0" t="s">
        <v>361</v>
      </c>
      <c r="J281" s="0" t="s">
        <v>1706</v>
      </c>
      <c r="K281" s="0" t="s">
        <v>50</v>
      </c>
      <c r="L281" s="0" t="str">
        <f aca="false">HYPERLINK("https://www.ncbi.nlm.nih.gov/snp/rs764868321", "rs764868321")</f>
        <v>rs764868321</v>
      </c>
      <c r="M281" s="0" t="str">
        <f aca="false">HYPERLINK("https://www.genecards.org/Search/Keyword?queryString=%5Baliases%5D(%20CCDC80%20)&amp;keywords=CCDC80", "CCDC80")</f>
        <v>CCDC80</v>
      </c>
      <c r="N281" s="0" t="s">
        <v>691</v>
      </c>
      <c r="O281" s="0" t="s">
        <v>323</v>
      </c>
      <c r="P281" s="0" t="s">
        <v>1707</v>
      </c>
      <c r="Q281" s="0" t="n">
        <v>0.0132</v>
      </c>
      <c r="R281" s="0" t="n">
        <v>0.0095</v>
      </c>
      <c r="S281" s="0" t="n">
        <v>0.0024</v>
      </c>
      <c r="T281" s="0" t="n">
        <v>-1</v>
      </c>
      <c r="U281" s="0" t="n">
        <v>0.0085</v>
      </c>
      <c r="V281" s="0" t="s">
        <v>50</v>
      </c>
      <c r="W281" s="0" t="s">
        <v>50</v>
      </c>
      <c r="X281" s="0" t="s">
        <v>50</v>
      </c>
      <c r="Y281" s="0" t="s">
        <v>50</v>
      </c>
      <c r="Z281" s="0" t="s">
        <v>50</v>
      </c>
      <c r="AA281" s="0" t="s">
        <v>50</v>
      </c>
      <c r="AB281" s="0" t="s">
        <v>50</v>
      </c>
      <c r="AC281" s="0" t="s">
        <v>53</v>
      </c>
      <c r="AD281" s="0" t="s">
        <v>54</v>
      </c>
      <c r="AE281" s="0" t="s">
        <v>1708</v>
      </c>
      <c r="AF281" s="0" t="s">
        <v>1709</v>
      </c>
      <c r="AG281" s="0" t="s">
        <v>1710</v>
      </c>
      <c r="AH281" s="0" t="s">
        <v>50</v>
      </c>
      <c r="AI281" s="0" t="s">
        <v>50</v>
      </c>
      <c r="AJ281" s="0" t="s">
        <v>50</v>
      </c>
      <c r="AK281" s="0" t="s">
        <v>50</v>
      </c>
      <c r="AL281" s="0" t="s">
        <v>50</v>
      </c>
    </row>
    <row r="282" customFormat="false" ht="13.8" hidden="false" customHeight="false" outlineLevel="0" collapsed="false">
      <c r="B282" s="0" t="str">
        <f aca="false">HYPERLINK("https://genome.ucsc.edu/cgi-bin/hgTracks?db=hg19&amp;position=chr3%3A122172647%2D122172647", "chr3:122172647")</f>
        <v>chr3:122172647</v>
      </c>
      <c r="C282" s="0" t="s">
        <v>115</v>
      </c>
      <c r="D282" s="0" t="n">
        <v>122172647</v>
      </c>
      <c r="E282" s="0" t="n">
        <v>122172647</v>
      </c>
      <c r="F282" s="0" t="s">
        <v>74</v>
      </c>
      <c r="G282" s="0" t="s">
        <v>39</v>
      </c>
      <c r="H282" s="0" t="s">
        <v>1711</v>
      </c>
      <c r="I282" s="0" t="s">
        <v>990</v>
      </c>
      <c r="J282" s="0" t="s">
        <v>1712</v>
      </c>
      <c r="K282" s="0" t="s">
        <v>50</v>
      </c>
      <c r="L282" s="0" t="str">
        <f aca="false">HYPERLINK("https://www.ncbi.nlm.nih.gov/snp/rs149742063", "rs149742063")</f>
        <v>rs149742063</v>
      </c>
      <c r="M282" s="0" t="str">
        <f aca="false">HYPERLINK("https://www.genecards.org/Search/Keyword?queryString=%5Baliases%5D(%20KPNA1%20)&amp;keywords=KPNA1", "KPNA1")</f>
        <v>KPNA1</v>
      </c>
      <c r="N282" s="0" t="s">
        <v>80</v>
      </c>
      <c r="O282" s="0" t="s">
        <v>50</v>
      </c>
      <c r="P282" s="0" t="s">
        <v>50</v>
      </c>
      <c r="Q282" s="0" t="n">
        <v>0.008</v>
      </c>
      <c r="R282" s="0" t="n">
        <v>0.0075</v>
      </c>
      <c r="S282" s="0" t="n">
        <v>0.0065</v>
      </c>
      <c r="T282" s="0" t="n">
        <v>-1</v>
      </c>
      <c r="U282" s="0" t="n">
        <v>0.0074</v>
      </c>
      <c r="V282" s="0" t="s">
        <v>50</v>
      </c>
      <c r="W282" s="0" t="s">
        <v>50</v>
      </c>
      <c r="X282" s="0" t="s">
        <v>81</v>
      </c>
      <c r="Y282" s="0" t="s">
        <v>82</v>
      </c>
      <c r="Z282" s="0" t="s">
        <v>50</v>
      </c>
      <c r="AA282" s="0" t="s">
        <v>50</v>
      </c>
      <c r="AB282" s="0" t="s">
        <v>50</v>
      </c>
      <c r="AC282" s="0" t="s">
        <v>53</v>
      </c>
      <c r="AD282" s="0" t="s">
        <v>54</v>
      </c>
      <c r="AE282" s="0" t="s">
        <v>1713</v>
      </c>
      <c r="AF282" s="0" t="s">
        <v>1714</v>
      </c>
      <c r="AG282" s="0" t="s">
        <v>1715</v>
      </c>
      <c r="AH282" s="0" t="s">
        <v>50</v>
      </c>
      <c r="AI282" s="0" t="s">
        <v>50</v>
      </c>
      <c r="AJ282" s="0" t="s">
        <v>50</v>
      </c>
      <c r="AK282" s="0" t="s">
        <v>50</v>
      </c>
      <c r="AL282" s="0" t="s">
        <v>50</v>
      </c>
    </row>
    <row r="283" customFormat="false" ht="13.8" hidden="false" customHeight="false" outlineLevel="0" collapsed="false">
      <c r="B283" s="0" t="str">
        <f aca="false">HYPERLINK("https://genome.ucsc.edu/cgi-bin/hgTracks?db=hg19&amp;position=chr3%3A127820493%2D127820493", "chr3:127820493")</f>
        <v>chr3:127820493</v>
      </c>
      <c r="C283" s="0" t="s">
        <v>115</v>
      </c>
      <c r="D283" s="0" t="n">
        <v>127820493</v>
      </c>
      <c r="E283" s="0" t="n">
        <v>127820493</v>
      </c>
      <c r="F283" s="0" t="s">
        <v>308</v>
      </c>
      <c r="G283" s="0" t="s">
        <v>75</v>
      </c>
      <c r="H283" s="0" t="s">
        <v>1716</v>
      </c>
      <c r="I283" s="0" t="s">
        <v>1717</v>
      </c>
      <c r="J283" s="0" t="s">
        <v>1718</v>
      </c>
      <c r="K283" s="0" t="s">
        <v>50</v>
      </c>
      <c r="L283" s="0" t="str">
        <f aca="false">HYPERLINK("https://www.ncbi.nlm.nih.gov/snp/rs746886040", "rs746886040")</f>
        <v>rs746886040</v>
      </c>
      <c r="M283" s="0" t="str">
        <f aca="false">HYPERLINK("https://www.genecards.org/Search/Keyword?queryString=%5Baliases%5D(%20RUVBL1%20)&amp;keywords=RUVBL1", "RUVBL1")</f>
        <v>RUVBL1</v>
      </c>
      <c r="N283" s="0" t="s">
        <v>64</v>
      </c>
      <c r="O283" s="0" t="s">
        <v>50</v>
      </c>
      <c r="P283" s="0" t="s">
        <v>1719</v>
      </c>
      <c r="Q283" s="0" t="n">
        <v>0.0025</v>
      </c>
      <c r="R283" s="0" t="n">
        <v>0.0013</v>
      </c>
      <c r="S283" s="0" t="n">
        <v>0.0014</v>
      </c>
      <c r="T283" s="0" t="n">
        <v>-1</v>
      </c>
      <c r="U283" s="0" t="n">
        <v>0.0012</v>
      </c>
      <c r="V283" s="0" t="s">
        <v>50</v>
      </c>
      <c r="W283" s="0" t="s">
        <v>50</v>
      </c>
      <c r="X283" s="0" t="s">
        <v>50</v>
      </c>
      <c r="Y283" s="0" t="s">
        <v>50</v>
      </c>
      <c r="Z283" s="0" t="s">
        <v>50</v>
      </c>
      <c r="AA283" s="0" t="s">
        <v>50</v>
      </c>
      <c r="AB283" s="0" t="s">
        <v>50</v>
      </c>
      <c r="AC283" s="0" t="s">
        <v>53</v>
      </c>
      <c r="AD283" s="0" t="s">
        <v>54</v>
      </c>
      <c r="AE283" s="0" t="s">
        <v>1720</v>
      </c>
      <c r="AF283" s="0" t="s">
        <v>1721</v>
      </c>
      <c r="AG283" s="0" t="s">
        <v>1722</v>
      </c>
      <c r="AH283" s="0" t="s">
        <v>50</v>
      </c>
      <c r="AI283" s="0" t="s">
        <v>50</v>
      </c>
      <c r="AJ283" s="0" t="s">
        <v>50</v>
      </c>
      <c r="AK283" s="0" t="s">
        <v>50</v>
      </c>
      <c r="AL283" s="0" t="s">
        <v>50</v>
      </c>
    </row>
    <row r="284" customFormat="false" ht="13.8" hidden="false" customHeight="false" outlineLevel="0" collapsed="false">
      <c r="B284" s="0" t="str">
        <f aca="false">HYPERLINK("https://genome.ucsc.edu/cgi-bin/hgTracks?db=hg19&amp;position=chr3%3A129210795%2D129210795", "chr3:129210795")</f>
        <v>chr3:129210795</v>
      </c>
      <c r="C284" s="0" t="s">
        <v>115</v>
      </c>
      <c r="D284" s="0" t="n">
        <v>129210795</v>
      </c>
      <c r="E284" s="0" t="n">
        <v>129210795</v>
      </c>
      <c r="F284" s="0" t="s">
        <v>39</v>
      </c>
      <c r="G284" s="0" t="s">
        <v>75</v>
      </c>
      <c r="H284" s="0" t="s">
        <v>467</v>
      </c>
      <c r="I284" s="0" t="s">
        <v>1476</v>
      </c>
      <c r="J284" s="0" t="s">
        <v>1723</v>
      </c>
      <c r="K284" s="0" t="s">
        <v>50</v>
      </c>
      <c r="L284" s="0" t="str">
        <f aca="false">HYPERLINK("https://www.ncbi.nlm.nih.gov/snp/rs187403699", "rs187403699")</f>
        <v>rs187403699</v>
      </c>
      <c r="M284" s="0" t="str">
        <f aca="false">HYPERLINK("https://www.genecards.org/Search/Keyword?queryString=%5Baliases%5D(%20IFT122%20)&amp;keywords=IFT122", "IFT122")</f>
        <v>IFT122</v>
      </c>
      <c r="N284" s="0" t="s">
        <v>80</v>
      </c>
      <c r="O284" s="0" t="s">
        <v>50</v>
      </c>
      <c r="P284" s="0" t="s">
        <v>50</v>
      </c>
      <c r="Q284" s="0" t="n">
        <v>0.0038</v>
      </c>
      <c r="R284" s="0" t="n">
        <v>0.0034</v>
      </c>
      <c r="S284" s="0" t="n">
        <v>0.0037</v>
      </c>
      <c r="T284" s="0" t="n">
        <v>-1</v>
      </c>
      <c r="U284" s="0" t="n">
        <v>0.0024</v>
      </c>
      <c r="V284" s="0" t="s">
        <v>50</v>
      </c>
      <c r="W284" s="0" t="s">
        <v>50</v>
      </c>
      <c r="X284" s="0" t="s">
        <v>49</v>
      </c>
      <c r="Y284" s="0" t="s">
        <v>82</v>
      </c>
      <c r="Z284" s="0" t="s">
        <v>50</v>
      </c>
      <c r="AA284" s="0" t="s">
        <v>50</v>
      </c>
      <c r="AB284" s="0" t="s">
        <v>50</v>
      </c>
      <c r="AC284" s="0" t="s">
        <v>53</v>
      </c>
      <c r="AD284" s="0" t="s">
        <v>54</v>
      </c>
      <c r="AE284" s="0" t="s">
        <v>1724</v>
      </c>
      <c r="AF284" s="0" t="s">
        <v>1725</v>
      </c>
      <c r="AG284" s="0" t="s">
        <v>1726</v>
      </c>
      <c r="AH284" s="0" t="s">
        <v>50</v>
      </c>
      <c r="AI284" s="0" t="s">
        <v>50</v>
      </c>
      <c r="AJ284" s="0" t="s">
        <v>50</v>
      </c>
      <c r="AK284" s="0" t="s">
        <v>50</v>
      </c>
      <c r="AL284" s="0" t="s">
        <v>50</v>
      </c>
    </row>
    <row r="285" customFormat="false" ht="13.8" hidden="false" customHeight="false" outlineLevel="0" collapsed="false">
      <c r="B285" s="0" t="str">
        <f aca="false">HYPERLINK("https://genome.ucsc.edu/cgi-bin/hgTracks?db=hg19&amp;position=chr3%3A142184163%2D142184163", "chr3:142184163")</f>
        <v>chr3:142184163</v>
      </c>
      <c r="C285" s="0" t="s">
        <v>115</v>
      </c>
      <c r="D285" s="0" t="n">
        <v>142184163</v>
      </c>
      <c r="E285" s="0" t="n">
        <v>142184163</v>
      </c>
      <c r="F285" s="0" t="s">
        <v>308</v>
      </c>
      <c r="G285" s="0" t="s">
        <v>75</v>
      </c>
      <c r="H285" s="0" t="s">
        <v>1727</v>
      </c>
      <c r="I285" s="0" t="s">
        <v>824</v>
      </c>
      <c r="J285" s="0" t="s">
        <v>1728</v>
      </c>
      <c r="K285" s="0" t="s">
        <v>50</v>
      </c>
      <c r="L285" s="0" t="s">
        <v>50</v>
      </c>
      <c r="M285" s="0" t="str">
        <f aca="false">HYPERLINK("https://www.genecards.org/Search/Keyword?queryString=%5Baliases%5D(%20ATR%20)&amp;keywords=ATR", "ATR")</f>
        <v>ATR</v>
      </c>
      <c r="N285" s="0" t="s">
        <v>390</v>
      </c>
      <c r="O285" s="0" t="s">
        <v>50</v>
      </c>
      <c r="P285" s="0" t="s">
        <v>50</v>
      </c>
      <c r="Q285" s="0" t="n">
        <v>0.0203</v>
      </c>
      <c r="R285" s="0" t="n">
        <v>0.0186</v>
      </c>
      <c r="S285" s="0" t="n">
        <v>0.016</v>
      </c>
      <c r="T285" s="0" t="n">
        <v>-1</v>
      </c>
      <c r="U285" s="0" t="n">
        <v>0.0395</v>
      </c>
      <c r="V285" s="0" t="s">
        <v>50</v>
      </c>
      <c r="W285" s="0" t="s">
        <v>50</v>
      </c>
      <c r="X285" s="0" t="s">
        <v>50</v>
      </c>
      <c r="Y285" s="0" t="s">
        <v>50</v>
      </c>
      <c r="Z285" s="0" t="s">
        <v>50</v>
      </c>
      <c r="AA285" s="0" t="s">
        <v>50</v>
      </c>
      <c r="AB285" s="0" t="s">
        <v>50</v>
      </c>
      <c r="AC285" s="0" t="s">
        <v>53</v>
      </c>
      <c r="AD285" s="0" t="s">
        <v>54</v>
      </c>
      <c r="AE285" s="0" t="s">
        <v>1729</v>
      </c>
      <c r="AF285" s="0" t="s">
        <v>1730</v>
      </c>
      <c r="AG285" s="0" t="s">
        <v>1731</v>
      </c>
      <c r="AH285" s="0" t="s">
        <v>1732</v>
      </c>
      <c r="AI285" s="0" t="s">
        <v>50</v>
      </c>
      <c r="AJ285" s="0" t="s">
        <v>50</v>
      </c>
      <c r="AK285" s="0" t="s">
        <v>50</v>
      </c>
      <c r="AL285" s="0" t="s">
        <v>50</v>
      </c>
    </row>
    <row r="286" customFormat="false" ht="13.8" hidden="false" customHeight="false" outlineLevel="0" collapsed="false">
      <c r="B286" s="0" t="str">
        <f aca="false">HYPERLINK("https://genome.ucsc.edu/cgi-bin/hgTracks?db=hg19&amp;position=chr3%3A187463145%2D187463147", "chr3:187463145")</f>
        <v>chr3:187463145</v>
      </c>
      <c r="C286" s="0" t="s">
        <v>115</v>
      </c>
      <c r="D286" s="0" t="n">
        <v>187463145</v>
      </c>
      <c r="E286" s="0" t="n">
        <v>187463147</v>
      </c>
      <c r="F286" s="0" t="s">
        <v>1733</v>
      </c>
      <c r="G286" s="0" t="s">
        <v>308</v>
      </c>
      <c r="H286" s="0" t="s">
        <v>1734</v>
      </c>
      <c r="I286" s="0" t="s">
        <v>1735</v>
      </c>
      <c r="J286" s="0" t="s">
        <v>1736</v>
      </c>
      <c r="K286" s="0" t="s">
        <v>50</v>
      </c>
      <c r="L286" s="0" t="s">
        <v>50</v>
      </c>
      <c r="M286" s="0" t="str">
        <f aca="false">HYPERLINK("https://www.genecards.org/Search/Keyword?queryString=%5Baliases%5D(%20BCL6%20)&amp;keywords=BCL6", "BCL6")</f>
        <v>BCL6</v>
      </c>
      <c r="N286" s="0" t="s">
        <v>390</v>
      </c>
      <c r="O286" s="0" t="s">
        <v>50</v>
      </c>
      <c r="P286" s="0" t="s">
        <v>50</v>
      </c>
      <c r="Q286" s="0" t="n">
        <v>3.84E-005</v>
      </c>
      <c r="R286" s="0" t="n">
        <v>-1</v>
      </c>
      <c r="S286" s="0" t="n">
        <v>-1</v>
      </c>
      <c r="T286" s="0" t="n">
        <v>-1</v>
      </c>
      <c r="U286" s="0" t="n">
        <v>-1</v>
      </c>
      <c r="V286" s="0" t="s">
        <v>50</v>
      </c>
      <c r="W286" s="0" t="s">
        <v>50</v>
      </c>
      <c r="X286" s="0" t="s">
        <v>50</v>
      </c>
      <c r="Y286" s="0" t="s">
        <v>50</v>
      </c>
      <c r="Z286" s="0" t="s">
        <v>50</v>
      </c>
      <c r="AA286" s="0" t="s">
        <v>50</v>
      </c>
      <c r="AB286" s="0" t="s">
        <v>50</v>
      </c>
      <c r="AC286" s="0" t="s">
        <v>53</v>
      </c>
      <c r="AD286" s="0" t="s">
        <v>54</v>
      </c>
      <c r="AE286" s="0" t="s">
        <v>1737</v>
      </c>
      <c r="AF286" s="0" t="s">
        <v>1738</v>
      </c>
      <c r="AG286" s="0" t="s">
        <v>1739</v>
      </c>
      <c r="AH286" s="0" t="s">
        <v>1740</v>
      </c>
      <c r="AI286" s="0" t="s">
        <v>50</v>
      </c>
      <c r="AJ286" s="0" t="s">
        <v>50</v>
      </c>
      <c r="AK286" s="0" t="s">
        <v>50</v>
      </c>
      <c r="AL286" s="0" t="s">
        <v>50</v>
      </c>
    </row>
    <row r="287" customFormat="false" ht="13.8" hidden="false" customHeight="false" outlineLevel="0" collapsed="false">
      <c r="B287" s="0" t="str">
        <f aca="false">HYPERLINK("https://genome.ucsc.edu/cgi-bin/hgTracks?db=hg19&amp;position=chr3%3A190281898%2D190281898", "chr3:190281898")</f>
        <v>chr3:190281898</v>
      </c>
      <c r="C287" s="0" t="s">
        <v>115</v>
      </c>
      <c r="D287" s="0" t="n">
        <v>190281898</v>
      </c>
      <c r="E287" s="0" t="n">
        <v>190281898</v>
      </c>
      <c r="F287" s="0" t="s">
        <v>75</v>
      </c>
      <c r="G287" s="0" t="s">
        <v>74</v>
      </c>
      <c r="H287" s="0" t="s">
        <v>1114</v>
      </c>
      <c r="I287" s="0" t="s">
        <v>1099</v>
      </c>
      <c r="J287" s="0" t="s">
        <v>1741</v>
      </c>
      <c r="K287" s="0" t="s">
        <v>50</v>
      </c>
      <c r="L287" s="0" t="str">
        <f aca="false">HYPERLINK("https://www.ncbi.nlm.nih.gov/snp/rs41268631", "rs41268631")</f>
        <v>rs41268631</v>
      </c>
      <c r="M287" s="0" t="str">
        <f aca="false">HYPERLINK("https://www.genecards.org/Search/Keyword?queryString=%5Baliases%5D(%20IL1RAP%20)&amp;keywords=IL1RAP", "IL1RAP")</f>
        <v>IL1RAP</v>
      </c>
      <c r="N287" s="0" t="s">
        <v>80</v>
      </c>
      <c r="O287" s="0" t="s">
        <v>50</v>
      </c>
      <c r="P287" s="0" t="s">
        <v>50</v>
      </c>
      <c r="Q287" s="0" t="n">
        <v>0.0258</v>
      </c>
      <c r="R287" s="0" t="n">
        <v>0.0208</v>
      </c>
      <c r="S287" s="0" t="n">
        <v>0.0213</v>
      </c>
      <c r="T287" s="0" t="n">
        <v>-1</v>
      </c>
      <c r="U287" s="0" t="n">
        <v>0.0163</v>
      </c>
      <c r="V287" s="0" t="s">
        <v>50</v>
      </c>
      <c r="W287" s="0" t="s">
        <v>50</v>
      </c>
      <c r="X287" s="0" t="s">
        <v>49</v>
      </c>
      <c r="Y287" s="0" t="s">
        <v>82</v>
      </c>
      <c r="Z287" s="0" t="s">
        <v>50</v>
      </c>
      <c r="AA287" s="0" t="s">
        <v>50</v>
      </c>
      <c r="AB287" s="0" t="s">
        <v>50</v>
      </c>
      <c r="AC287" s="0" t="s">
        <v>53</v>
      </c>
      <c r="AD287" s="0" t="s">
        <v>54</v>
      </c>
      <c r="AE287" s="0" t="s">
        <v>1742</v>
      </c>
      <c r="AF287" s="0" t="s">
        <v>1743</v>
      </c>
      <c r="AG287" s="0" t="s">
        <v>1744</v>
      </c>
      <c r="AH287" s="0" t="s">
        <v>50</v>
      </c>
      <c r="AI287" s="0" t="s">
        <v>50</v>
      </c>
      <c r="AJ287" s="0" t="s">
        <v>50</v>
      </c>
      <c r="AK287" s="0" t="s">
        <v>50</v>
      </c>
      <c r="AL287" s="0" t="s">
        <v>50</v>
      </c>
    </row>
    <row r="288" customFormat="false" ht="13.8" hidden="false" customHeight="false" outlineLevel="0" collapsed="false">
      <c r="B288" s="0" t="str">
        <f aca="false">HYPERLINK("https://genome.ucsc.edu/cgi-bin/hgTracks?db=hg19&amp;position=chr3%3A193272445%2D193272448", "chr3:193272445")</f>
        <v>chr3:193272445</v>
      </c>
      <c r="C288" s="0" t="s">
        <v>115</v>
      </c>
      <c r="D288" s="0" t="n">
        <v>193272445</v>
      </c>
      <c r="E288" s="0" t="n">
        <v>193272448</v>
      </c>
      <c r="F288" s="0" t="s">
        <v>1745</v>
      </c>
      <c r="G288" s="0" t="s">
        <v>308</v>
      </c>
      <c r="H288" s="0" t="s">
        <v>1746</v>
      </c>
      <c r="I288" s="0" t="s">
        <v>104</v>
      </c>
      <c r="J288" s="0" t="s">
        <v>1747</v>
      </c>
      <c r="K288" s="0" t="s">
        <v>50</v>
      </c>
      <c r="L288" s="0" t="s">
        <v>50</v>
      </c>
      <c r="M288" s="0" t="str">
        <f aca="false">HYPERLINK("https://www.genecards.org/Search/Keyword?queryString=%5Baliases%5D(%20ATP13A4%20)%20OR%20%5Baliases%5D(%20ATP13A4-AS1%20)&amp;keywords=ATP13A4,ATP13A4-AS1", "ATP13A4;ATP13A4-AS1")</f>
        <v>ATP13A4;ATP13A4-AS1</v>
      </c>
      <c r="N288" s="0" t="s">
        <v>390</v>
      </c>
      <c r="O288" s="0" t="s">
        <v>50</v>
      </c>
      <c r="P288" s="0" t="s">
        <v>50</v>
      </c>
      <c r="Q288" s="0" t="n">
        <v>-1</v>
      </c>
      <c r="R288" s="0" t="n">
        <v>-1</v>
      </c>
      <c r="S288" s="0" t="n">
        <v>-1</v>
      </c>
      <c r="T288" s="0" t="n">
        <v>-1</v>
      </c>
      <c r="U288" s="0" t="n">
        <v>-1</v>
      </c>
      <c r="V288" s="0" t="s">
        <v>50</v>
      </c>
      <c r="W288" s="0" t="s">
        <v>50</v>
      </c>
      <c r="X288" s="0" t="s">
        <v>50</v>
      </c>
      <c r="Y288" s="0" t="s">
        <v>50</v>
      </c>
      <c r="Z288" s="0" t="s">
        <v>50</v>
      </c>
      <c r="AA288" s="0" t="s">
        <v>50</v>
      </c>
      <c r="AB288" s="0" t="s">
        <v>50</v>
      </c>
      <c r="AC288" s="0" t="s">
        <v>455</v>
      </c>
      <c r="AD288" s="0" t="s">
        <v>157</v>
      </c>
      <c r="AE288" s="0" t="s">
        <v>1748</v>
      </c>
      <c r="AF288" s="0" t="s">
        <v>1749</v>
      </c>
      <c r="AG288" s="0" t="s">
        <v>50</v>
      </c>
      <c r="AH288" s="0" t="s">
        <v>1750</v>
      </c>
      <c r="AI288" s="0" t="s">
        <v>50</v>
      </c>
      <c r="AJ288" s="0" t="s">
        <v>50</v>
      </c>
      <c r="AK288" s="0" t="s">
        <v>50</v>
      </c>
      <c r="AL288" s="0" t="s">
        <v>50</v>
      </c>
    </row>
    <row r="289" customFormat="false" ht="13.8" hidden="false" customHeight="false" outlineLevel="0" collapsed="false">
      <c r="B289" s="0" t="str">
        <f aca="false">HYPERLINK("https://genome.ucsc.edu/cgi-bin/hgTracks?db=hg19&amp;position=chr4%3A905677%2D905677", "chr4:905677")</f>
        <v>chr4:905677</v>
      </c>
      <c r="C289" s="0" t="s">
        <v>318</v>
      </c>
      <c r="D289" s="0" t="n">
        <v>905677</v>
      </c>
      <c r="E289" s="0" t="n">
        <v>905677</v>
      </c>
      <c r="F289" s="0" t="s">
        <v>40</v>
      </c>
      <c r="G289" s="0" t="s">
        <v>39</v>
      </c>
      <c r="H289" s="0" t="s">
        <v>1751</v>
      </c>
      <c r="I289" s="0" t="s">
        <v>299</v>
      </c>
      <c r="J289" s="0" t="s">
        <v>1752</v>
      </c>
      <c r="K289" s="0" t="s">
        <v>50</v>
      </c>
      <c r="L289" s="0" t="str">
        <f aca="false">HYPERLINK("https://www.ncbi.nlm.nih.gov/snp/rs141993448", "rs141993448")</f>
        <v>rs141993448</v>
      </c>
      <c r="M289" s="0" t="str">
        <f aca="false">HYPERLINK("https://www.genecards.org/Search/Keyword?queryString=%5Baliases%5D(%20GAK%20)&amp;keywords=GAK", "GAK")</f>
        <v>GAK</v>
      </c>
      <c r="N289" s="0" t="s">
        <v>80</v>
      </c>
      <c r="O289" s="0" t="s">
        <v>50</v>
      </c>
      <c r="P289" s="0" t="s">
        <v>50</v>
      </c>
      <c r="Q289" s="0" t="n">
        <v>0.0141</v>
      </c>
      <c r="R289" s="0" t="n">
        <v>0.0123</v>
      </c>
      <c r="S289" s="0" t="n">
        <v>0.0144</v>
      </c>
      <c r="T289" s="0" t="n">
        <v>-1</v>
      </c>
      <c r="U289" s="0" t="n">
        <v>0.0163</v>
      </c>
      <c r="V289" s="0" t="s">
        <v>50</v>
      </c>
      <c r="W289" s="0" t="s">
        <v>50</v>
      </c>
      <c r="X289" s="0" t="s">
        <v>49</v>
      </c>
      <c r="Y289" s="0" t="s">
        <v>82</v>
      </c>
      <c r="Z289" s="0" t="s">
        <v>50</v>
      </c>
      <c r="AA289" s="0" t="s">
        <v>50</v>
      </c>
      <c r="AB289" s="0" t="s">
        <v>50</v>
      </c>
      <c r="AC289" s="0" t="s">
        <v>53</v>
      </c>
      <c r="AD289" s="0" t="s">
        <v>54</v>
      </c>
      <c r="AE289" s="0" t="s">
        <v>1753</v>
      </c>
      <c r="AF289" s="0" t="s">
        <v>1754</v>
      </c>
      <c r="AG289" s="0" t="s">
        <v>1755</v>
      </c>
      <c r="AH289" s="0" t="s">
        <v>50</v>
      </c>
      <c r="AI289" s="0" t="s">
        <v>50</v>
      </c>
      <c r="AJ289" s="0" t="s">
        <v>50</v>
      </c>
      <c r="AK289" s="0" t="s">
        <v>50</v>
      </c>
      <c r="AL289" s="0" t="s">
        <v>50</v>
      </c>
    </row>
    <row r="290" customFormat="false" ht="13.8" hidden="false" customHeight="false" outlineLevel="0" collapsed="false">
      <c r="B290" s="0" t="str">
        <f aca="false">HYPERLINK("https://genome.ucsc.edu/cgi-bin/hgTracks?db=hg19&amp;position=chr4%3A3076636%2D3076637", "chr4:3076636")</f>
        <v>chr4:3076636</v>
      </c>
      <c r="C290" s="0" t="s">
        <v>318</v>
      </c>
      <c r="D290" s="0" t="n">
        <v>3076636</v>
      </c>
      <c r="E290" s="0" t="n">
        <v>3076637</v>
      </c>
      <c r="F290" s="0" t="s">
        <v>1756</v>
      </c>
      <c r="G290" s="0" t="s">
        <v>308</v>
      </c>
      <c r="H290" s="0" t="s">
        <v>1757</v>
      </c>
      <c r="I290" s="0" t="s">
        <v>1002</v>
      </c>
      <c r="J290" s="0" t="s">
        <v>1758</v>
      </c>
      <c r="K290" s="0" t="s">
        <v>50</v>
      </c>
      <c r="L290" s="0" t="str">
        <f aca="false">HYPERLINK("https://www.ncbi.nlm.nih.gov/snp/rs767553699", "rs767553699")</f>
        <v>rs767553699</v>
      </c>
      <c r="M290" s="0" t="str">
        <f aca="false">HYPERLINK("https://www.genecards.org/Search/Keyword?queryString=%5Baliases%5D(%20HTT%20)&amp;keywords=HTT", "HTT")</f>
        <v>HTT</v>
      </c>
      <c r="N290" s="0" t="s">
        <v>92</v>
      </c>
      <c r="O290" s="0" t="s">
        <v>312</v>
      </c>
      <c r="P290" s="0" t="s">
        <v>1759</v>
      </c>
      <c r="Q290" s="0" t="n">
        <v>0.0051</v>
      </c>
      <c r="R290" s="0" t="n">
        <v>0.0042</v>
      </c>
      <c r="S290" s="0" t="n">
        <v>0.0059</v>
      </c>
      <c r="T290" s="0" t="n">
        <v>-1</v>
      </c>
      <c r="U290" s="0" t="n">
        <v>0.0094</v>
      </c>
      <c r="V290" s="0" t="s">
        <v>50</v>
      </c>
      <c r="W290" s="0" t="s">
        <v>50</v>
      </c>
      <c r="X290" s="0" t="s">
        <v>50</v>
      </c>
      <c r="Y290" s="0" t="s">
        <v>50</v>
      </c>
      <c r="Z290" s="0" t="s">
        <v>50</v>
      </c>
      <c r="AA290" s="0" t="s">
        <v>50</v>
      </c>
      <c r="AB290" s="0" t="s">
        <v>50</v>
      </c>
      <c r="AC290" s="0" t="s">
        <v>53</v>
      </c>
      <c r="AD290" s="0" t="s">
        <v>355</v>
      </c>
      <c r="AE290" s="0" t="s">
        <v>1760</v>
      </c>
      <c r="AF290" s="0" t="s">
        <v>1761</v>
      </c>
      <c r="AG290" s="0" t="s">
        <v>1762</v>
      </c>
      <c r="AH290" s="0" t="s">
        <v>1763</v>
      </c>
      <c r="AI290" s="0" t="s">
        <v>50</v>
      </c>
      <c r="AJ290" s="0" t="s">
        <v>50</v>
      </c>
      <c r="AK290" s="0" t="s">
        <v>50</v>
      </c>
      <c r="AL290" s="0" t="s">
        <v>50</v>
      </c>
    </row>
    <row r="291" customFormat="false" ht="13.8" hidden="false" customHeight="false" outlineLevel="0" collapsed="false">
      <c r="B291" s="0" t="str">
        <f aca="false">HYPERLINK("https://genome.ucsc.edu/cgi-bin/hgTracks?db=hg19&amp;position=chr4%3A3076639%2D3076654", "chr4:3076639")</f>
        <v>chr4:3076639</v>
      </c>
      <c r="C291" s="0" t="s">
        <v>318</v>
      </c>
      <c r="D291" s="0" t="n">
        <v>3076639</v>
      </c>
      <c r="E291" s="0" t="n">
        <v>3076654</v>
      </c>
      <c r="F291" s="0" t="s">
        <v>1764</v>
      </c>
      <c r="G291" s="0" t="s">
        <v>308</v>
      </c>
      <c r="H291" s="0" t="s">
        <v>1765</v>
      </c>
      <c r="I291" s="0" t="s">
        <v>1099</v>
      </c>
      <c r="J291" s="0" t="s">
        <v>1766</v>
      </c>
      <c r="K291" s="0" t="s">
        <v>50</v>
      </c>
      <c r="L291" s="0" t="str">
        <f aca="false">HYPERLINK("https://www.ncbi.nlm.nih.gov/snp/rs760691860", "rs760691860")</f>
        <v>rs760691860</v>
      </c>
      <c r="M291" s="0" t="str">
        <f aca="false">HYPERLINK("https://www.genecards.org/Search/Keyword?queryString=%5Baliases%5D(%20HTT%20)&amp;keywords=HTT", "HTT")</f>
        <v>HTT</v>
      </c>
      <c r="N291" s="0" t="s">
        <v>92</v>
      </c>
      <c r="O291" s="0" t="s">
        <v>312</v>
      </c>
      <c r="P291" s="0" t="s">
        <v>1767</v>
      </c>
      <c r="Q291" s="0" t="n">
        <v>0.0051</v>
      </c>
      <c r="R291" s="0" t="n">
        <v>0.0042</v>
      </c>
      <c r="S291" s="0" t="n">
        <v>0.0059</v>
      </c>
      <c r="T291" s="0" t="n">
        <v>-1</v>
      </c>
      <c r="U291" s="0" t="n">
        <v>0.0094</v>
      </c>
      <c r="V291" s="0" t="s">
        <v>50</v>
      </c>
      <c r="W291" s="0" t="s">
        <v>50</v>
      </c>
      <c r="X291" s="0" t="s">
        <v>50</v>
      </c>
      <c r="Y291" s="0" t="s">
        <v>50</v>
      </c>
      <c r="Z291" s="0" t="s">
        <v>50</v>
      </c>
      <c r="AA291" s="0" t="s">
        <v>50</v>
      </c>
      <c r="AB291" s="0" t="s">
        <v>50</v>
      </c>
      <c r="AC291" s="0" t="s">
        <v>53</v>
      </c>
      <c r="AD291" s="0" t="s">
        <v>355</v>
      </c>
      <c r="AE291" s="0" t="s">
        <v>1760</v>
      </c>
      <c r="AF291" s="0" t="s">
        <v>1761</v>
      </c>
      <c r="AG291" s="0" t="s">
        <v>1762</v>
      </c>
      <c r="AH291" s="0" t="s">
        <v>1763</v>
      </c>
      <c r="AI291" s="0" t="s">
        <v>50</v>
      </c>
      <c r="AJ291" s="0" t="s">
        <v>50</v>
      </c>
      <c r="AK291" s="0" t="s">
        <v>50</v>
      </c>
      <c r="AL291" s="0" t="s">
        <v>50</v>
      </c>
    </row>
    <row r="292" customFormat="false" ht="13.8" hidden="false" customHeight="false" outlineLevel="0" collapsed="false">
      <c r="B292" s="0" t="str">
        <f aca="false">HYPERLINK("https://genome.ucsc.edu/cgi-bin/hgTracks?db=hg19&amp;position=chr4%3A3131798%2D3131798", "chr4:3131798")</f>
        <v>chr4:3131798</v>
      </c>
      <c r="C292" s="0" t="s">
        <v>318</v>
      </c>
      <c r="D292" s="0" t="n">
        <v>3131798</v>
      </c>
      <c r="E292" s="0" t="n">
        <v>3131798</v>
      </c>
      <c r="F292" s="0" t="s">
        <v>39</v>
      </c>
      <c r="G292" s="0" t="s">
        <v>74</v>
      </c>
      <c r="H292" s="0" t="s">
        <v>1768</v>
      </c>
      <c r="I292" s="0" t="s">
        <v>163</v>
      </c>
      <c r="J292" s="0" t="s">
        <v>1769</v>
      </c>
      <c r="K292" s="0" t="s">
        <v>50</v>
      </c>
      <c r="L292" s="0" t="str">
        <f aca="false">HYPERLINK("https://www.ncbi.nlm.nih.gov/snp/rs182147084", "rs182147084")</f>
        <v>rs182147084</v>
      </c>
      <c r="M292" s="0" t="str">
        <f aca="false">HYPERLINK("https://www.genecards.org/Search/Keyword?queryString=%5Baliases%5D(%20HTT%20)&amp;keywords=HTT", "HTT")</f>
        <v>HTT</v>
      </c>
      <c r="N292" s="0" t="s">
        <v>80</v>
      </c>
      <c r="O292" s="0" t="s">
        <v>50</v>
      </c>
      <c r="P292" s="0" t="s">
        <v>50</v>
      </c>
      <c r="Q292" s="0" t="n">
        <v>0.002</v>
      </c>
      <c r="R292" s="0" t="n">
        <v>0.0003</v>
      </c>
      <c r="S292" s="0" t="n">
        <v>0.0004</v>
      </c>
      <c r="T292" s="0" t="n">
        <v>-1</v>
      </c>
      <c r="U292" s="0" t="n">
        <v>0.0002</v>
      </c>
      <c r="V292" s="0" t="s">
        <v>50</v>
      </c>
      <c r="W292" s="0" t="s">
        <v>50</v>
      </c>
      <c r="X292" s="0" t="s">
        <v>81</v>
      </c>
      <c r="Y292" s="0" t="s">
        <v>82</v>
      </c>
      <c r="Z292" s="0" t="s">
        <v>50</v>
      </c>
      <c r="AA292" s="0" t="s">
        <v>50</v>
      </c>
      <c r="AB292" s="0" t="s">
        <v>50</v>
      </c>
      <c r="AC292" s="0" t="s">
        <v>53</v>
      </c>
      <c r="AD292" s="0" t="s">
        <v>355</v>
      </c>
      <c r="AE292" s="0" t="s">
        <v>1760</v>
      </c>
      <c r="AF292" s="0" t="s">
        <v>1761</v>
      </c>
      <c r="AG292" s="0" t="s">
        <v>1762</v>
      </c>
      <c r="AH292" s="0" t="s">
        <v>1763</v>
      </c>
      <c r="AI292" s="0" t="s">
        <v>50</v>
      </c>
      <c r="AJ292" s="0" t="s">
        <v>50</v>
      </c>
      <c r="AK292" s="0" t="s">
        <v>50</v>
      </c>
      <c r="AL292" s="0" t="s">
        <v>50</v>
      </c>
    </row>
    <row r="293" customFormat="false" ht="13.8" hidden="false" customHeight="false" outlineLevel="0" collapsed="false">
      <c r="B293" s="0" t="str">
        <f aca="false">HYPERLINK("https://genome.ucsc.edu/cgi-bin/hgTracks?db=hg19&amp;position=chr4%3A37440322%2D37440322", "chr4:37440322")</f>
        <v>chr4:37440322</v>
      </c>
      <c r="C293" s="0" t="s">
        <v>318</v>
      </c>
      <c r="D293" s="0" t="n">
        <v>37440322</v>
      </c>
      <c r="E293" s="0" t="n">
        <v>37440322</v>
      </c>
      <c r="F293" s="0" t="s">
        <v>39</v>
      </c>
      <c r="G293" s="0" t="s">
        <v>40</v>
      </c>
      <c r="H293" s="0" t="s">
        <v>1770</v>
      </c>
      <c r="I293" s="0" t="s">
        <v>727</v>
      </c>
      <c r="J293" s="0" t="s">
        <v>1771</v>
      </c>
      <c r="K293" s="0" t="s">
        <v>50</v>
      </c>
      <c r="L293" s="0" t="str">
        <f aca="false">HYPERLINK("https://www.ncbi.nlm.nih.gov/snp/rs114512916", "rs114512916")</f>
        <v>rs114512916</v>
      </c>
      <c r="M293" s="0" t="str">
        <f aca="false">HYPERLINK("https://www.genecards.org/Search/Keyword?queryString=%5Baliases%5D(%20KIAA1239%20)%20OR%20%5Baliases%5D(%20NWD2%20)&amp;keywords=KIAA1239,NWD2", "KIAA1239;NWD2")</f>
        <v>KIAA1239;NWD2</v>
      </c>
      <c r="N293" s="0" t="s">
        <v>80</v>
      </c>
      <c r="O293" s="0" t="s">
        <v>50</v>
      </c>
      <c r="P293" s="0" t="s">
        <v>50</v>
      </c>
      <c r="Q293" s="0" t="n">
        <v>0.0162</v>
      </c>
      <c r="R293" s="0" t="n">
        <v>0.0159</v>
      </c>
      <c r="S293" s="0" t="n">
        <v>0.0157</v>
      </c>
      <c r="T293" s="0" t="n">
        <v>-1</v>
      </c>
      <c r="U293" s="0" t="n">
        <v>0.0167</v>
      </c>
      <c r="V293" s="0" t="s">
        <v>50</v>
      </c>
      <c r="W293" s="0" t="s">
        <v>50</v>
      </c>
      <c r="X293" s="0" t="s">
        <v>49</v>
      </c>
      <c r="Y293" s="0" t="s">
        <v>82</v>
      </c>
      <c r="Z293" s="0" t="s">
        <v>50</v>
      </c>
      <c r="AA293" s="0" t="s">
        <v>50</v>
      </c>
      <c r="AB293" s="0" t="s">
        <v>50</v>
      </c>
      <c r="AC293" s="0" t="s">
        <v>53</v>
      </c>
      <c r="AD293" s="0" t="s">
        <v>157</v>
      </c>
      <c r="AE293" s="0" t="s">
        <v>50</v>
      </c>
      <c r="AF293" s="0" t="s">
        <v>1772</v>
      </c>
      <c r="AG293" s="0" t="s">
        <v>50</v>
      </c>
      <c r="AH293" s="0" t="s">
        <v>50</v>
      </c>
      <c r="AI293" s="0" t="s">
        <v>50</v>
      </c>
      <c r="AJ293" s="0" t="s">
        <v>50</v>
      </c>
      <c r="AK293" s="0" t="s">
        <v>50</v>
      </c>
      <c r="AL293" s="0" t="s">
        <v>50</v>
      </c>
    </row>
    <row r="294" customFormat="false" ht="13.8" hidden="false" customHeight="false" outlineLevel="0" collapsed="false">
      <c r="B294" s="0" t="str">
        <f aca="false">HYPERLINK("https://genome.ucsc.edu/cgi-bin/hgTracks?db=hg19&amp;position=chr4%3A83292510%2D83292510", "chr4:83292510")</f>
        <v>chr4:83292510</v>
      </c>
      <c r="C294" s="0" t="s">
        <v>318</v>
      </c>
      <c r="D294" s="0" t="n">
        <v>83292510</v>
      </c>
      <c r="E294" s="0" t="n">
        <v>83292510</v>
      </c>
      <c r="F294" s="0" t="s">
        <v>75</v>
      </c>
      <c r="G294" s="0" t="s">
        <v>74</v>
      </c>
      <c r="H294" s="0" t="s">
        <v>697</v>
      </c>
      <c r="I294" s="0" t="s">
        <v>648</v>
      </c>
      <c r="J294" s="0" t="s">
        <v>1773</v>
      </c>
      <c r="K294" s="0" t="s">
        <v>50</v>
      </c>
      <c r="L294" s="0" t="s">
        <v>50</v>
      </c>
      <c r="M294" s="0" t="str">
        <f aca="false">HYPERLINK("https://www.genecards.org/Search/Keyword?queryString=%5Baliases%5D(%20HNRNPD%20)&amp;keywords=HNRNPD", "HNRNPD")</f>
        <v>HNRNPD</v>
      </c>
      <c r="N294" s="0" t="s">
        <v>80</v>
      </c>
      <c r="O294" s="0" t="s">
        <v>50</v>
      </c>
      <c r="P294" s="0" t="s">
        <v>50</v>
      </c>
      <c r="Q294" s="0" t="n">
        <v>-1</v>
      </c>
      <c r="R294" s="0" t="n">
        <v>-1</v>
      </c>
      <c r="S294" s="0" t="n">
        <v>-1</v>
      </c>
      <c r="T294" s="0" t="n">
        <v>-1</v>
      </c>
      <c r="U294" s="0" t="n">
        <v>-1</v>
      </c>
      <c r="V294" s="0" t="s">
        <v>50</v>
      </c>
      <c r="W294" s="0" t="s">
        <v>50</v>
      </c>
      <c r="X294" s="0" t="s">
        <v>49</v>
      </c>
      <c r="Y294" s="0" t="s">
        <v>82</v>
      </c>
      <c r="Z294" s="0" t="s">
        <v>50</v>
      </c>
      <c r="AA294" s="0" t="s">
        <v>50</v>
      </c>
      <c r="AB294" s="0" t="s">
        <v>50</v>
      </c>
      <c r="AC294" s="0" t="s">
        <v>53</v>
      </c>
      <c r="AD294" s="0" t="s">
        <v>54</v>
      </c>
      <c r="AE294" s="0" t="s">
        <v>1774</v>
      </c>
      <c r="AF294" s="0" t="s">
        <v>1775</v>
      </c>
      <c r="AG294" s="0" t="s">
        <v>1776</v>
      </c>
      <c r="AH294" s="0" t="s">
        <v>50</v>
      </c>
      <c r="AI294" s="0" t="s">
        <v>50</v>
      </c>
      <c r="AJ294" s="0" t="s">
        <v>50</v>
      </c>
      <c r="AK294" s="0" t="s">
        <v>50</v>
      </c>
      <c r="AL294" s="0" t="s">
        <v>50</v>
      </c>
    </row>
    <row r="295" s="2" customFormat="true" ht="13.8" hidden="false" customHeight="false" outlineLevel="0" collapsed="false">
      <c r="B295" s="2" t="str">
        <f aca="false">HYPERLINK("https://genome.ucsc.edu/cgi-bin/hgTracks?db=hg19&amp;position=chr4%3A88533166%2D88533171", "chr4:88533166")</f>
        <v>chr4:88533166</v>
      </c>
      <c r="C295" s="2" t="s">
        <v>318</v>
      </c>
      <c r="D295" s="2" t="n">
        <v>88533166</v>
      </c>
      <c r="E295" s="2" t="n">
        <v>88533171</v>
      </c>
      <c r="F295" s="2" t="s">
        <v>1777</v>
      </c>
      <c r="G295" s="2" t="s">
        <v>308</v>
      </c>
      <c r="H295" s="2" t="s">
        <v>1778</v>
      </c>
      <c r="I295" s="2" t="s">
        <v>1779</v>
      </c>
      <c r="J295" s="2" t="s">
        <v>1780</v>
      </c>
      <c r="K295" s="2" t="s">
        <v>50</v>
      </c>
      <c r="L295" s="2" t="s">
        <v>50</v>
      </c>
      <c r="M295" s="2" t="str">
        <f aca="false">HYPERLINK("https://www.genecards.org/Search/Keyword?queryString=%5Baliases%5D(%20DSPP%20)&amp;keywords=DSPP", "DSPP")</f>
        <v>DSPP</v>
      </c>
      <c r="N295" s="2" t="s">
        <v>347</v>
      </c>
      <c r="O295" s="2" t="s">
        <v>50</v>
      </c>
      <c r="P295" s="2" t="s">
        <v>50</v>
      </c>
      <c r="Q295" s="2" t="n">
        <v>-1</v>
      </c>
      <c r="R295" s="2" t="n">
        <v>-1</v>
      </c>
      <c r="S295" s="2" t="n">
        <v>-1</v>
      </c>
      <c r="T295" s="2" t="n">
        <v>-1</v>
      </c>
      <c r="U295" s="2" t="n">
        <v>-1</v>
      </c>
      <c r="V295" s="2" t="s">
        <v>50</v>
      </c>
      <c r="W295" s="2" t="s">
        <v>50</v>
      </c>
      <c r="X295" s="2" t="s">
        <v>50</v>
      </c>
      <c r="Y295" s="2" t="s">
        <v>50</v>
      </c>
      <c r="Z295" s="2" t="s">
        <v>50</v>
      </c>
      <c r="AA295" s="2" t="s">
        <v>50</v>
      </c>
      <c r="AB295" s="2" t="s">
        <v>50</v>
      </c>
      <c r="AC295" s="2" t="s">
        <v>455</v>
      </c>
      <c r="AD295" s="2" t="s">
        <v>54</v>
      </c>
      <c r="AE295" s="2" t="s">
        <v>1781</v>
      </c>
      <c r="AF295" s="2" t="s">
        <v>1782</v>
      </c>
      <c r="AG295" s="2" t="s">
        <v>1783</v>
      </c>
      <c r="AH295" s="2" t="s">
        <v>1784</v>
      </c>
      <c r="AI295" s="2" t="s">
        <v>50</v>
      </c>
      <c r="AJ295" s="2" t="s">
        <v>50</v>
      </c>
      <c r="AK295" s="2" t="s">
        <v>50</v>
      </c>
      <c r="AL295" s="2" t="s">
        <v>50</v>
      </c>
    </row>
    <row r="296" customFormat="false" ht="13.8" hidden="false" customHeight="false" outlineLevel="0" collapsed="false">
      <c r="B296" s="0" t="str">
        <f aca="false">HYPERLINK("https://genome.ucsc.edu/cgi-bin/hgTracks?db=hg19&amp;position=chr4%3A90646187%2D90646187", "chr4:90646187")</f>
        <v>chr4:90646187</v>
      </c>
      <c r="C296" s="0" t="s">
        <v>318</v>
      </c>
      <c r="D296" s="0" t="n">
        <v>90646187</v>
      </c>
      <c r="E296" s="0" t="n">
        <v>90646187</v>
      </c>
      <c r="F296" s="0" t="s">
        <v>75</v>
      </c>
      <c r="G296" s="0" t="s">
        <v>74</v>
      </c>
      <c r="H296" s="0" t="s">
        <v>1785</v>
      </c>
      <c r="I296" s="0" t="s">
        <v>1037</v>
      </c>
      <c r="J296" s="0" t="s">
        <v>1786</v>
      </c>
      <c r="K296" s="0" t="s">
        <v>50</v>
      </c>
      <c r="L296" s="0" t="s">
        <v>50</v>
      </c>
      <c r="M296" s="0" t="str">
        <f aca="false">HYPERLINK("https://www.genecards.org/Search/Keyword?queryString=%5Baliases%5D(%20SNCA%20)&amp;keywords=SNCA", "SNCA")</f>
        <v>SNCA</v>
      </c>
      <c r="N296" s="0" t="s">
        <v>282</v>
      </c>
      <c r="O296" s="0" t="s">
        <v>50</v>
      </c>
      <c r="P296" s="0" t="s">
        <v>1787</v>
      </c>
      <c r="Q296" s="0" t="n">
        <v>-1</v>
      </c>
      <c r="R296" s="0" t="n">
        <v>-1</v>
      </c>
      <c r="S296" s="0" t="n">
        <v>-1</v>
      </c>
      <c r="T296" s="0" t="n">
        <v>-1</v>
      </c>
      <c r="U296" s="0" t="n">
        <v>-1</v>
      </c>
      <c r="V296" s="0" t="s">
        <v>50</v>
      </c>
      <c r="W296" s="0" t="s">
        <v>50</v>
      </c>
      <c r="X296" s="0" t="s">
        <v>50</v>
      </c>
      <c r="Y296" s="0" t="s">
        <v>50</v>
      </c>
      <c r="Z296" s="0" t="s">
        <v>50</v>
      </c>
      <c r="AA296" s="0" t="s">
        <v>50</v>
      </c>
      <c r="AB296" s="0" t="s">
        <v>50</v>
      </c>
      <c r="AC296" s="0" t="s">
        <v>53</v>
      </c>
      <c r="AD296" s="0" t="s">
        <v>226</v>
      </c>
      <c r="AE296" s="0" t="s">
        <v>1788</v>
      </c>
      <c r="AF296" s="0" t="s">
        <v>1789</v>
      </c>
      <c r="AG296" s="0" t="s">
        <v>1790</v>
      </c>
      <c r="AH296" s="0" t="s">
        <v>1791</v>
      </c>
      <c r="AI296" s="0" t="s">
        <v>50</v>
      </c>
      <c r="AJ296" s="0" t="s">
        <v>50</v>
      </c>
      <c r="AK296" s="0" t="s">
        <v>50</v>
      </c>
      <c r="AL296" s="0" t="s">
        <v>50</v>
      </c>
    </row>
    <row r="297" customFormat="false" ht="13.8" hidden="false" customHeight="false" outlineLevel="0" collapsed="false">
      <c r="B297" s="0" t="str">
        <f aca="false">HYPERLINK("https://genome.ucsc.edu/cgi-bin/hgTracks?db=hg19&amp;position=chr4%3A90646504%2D90646505", "chr4:90646504")</f>
        <v>chr4:90646504</v>
      </c>
      <c r="C297" s="0" t="s">
        <v>318</v>
      </c>
      <c r="D297" s="0" t="n">
        <v>90646504</v>
      </c>
      <c r="E297" s="0" t="n">
        <v>90646505</v>
      </c>
      <c r="F297" s="0" t="s">
        <v>619</v>
      </c>
      <c r="G297" s="0" t="s">
        <v>308</v>
      </c>
      <c r="H297" s="0" t="s">
        <v>1792</v>
      </c>
      <c r="I297" s="0" t="s">
        <v>1121</v>
      </c>
      <c r="J297" s="0" t="s">
        <v>1793</v>
      </c>
      <c r="K297" s="0" t="s">
        <v>50</v>
      </c>
      <c r="L297" s="0" t="s">
        <v>50</v>
      </c>
      <c r="M297" s="0" t="str">
        <f aca="false">HYPERLINK("https://www.genecards.org/Search/Keyword?queryString=%5Baliases%5D(%20SNCA%20)&amp;keywords=SNCA", "SNCA")</f>
        <v>SNCA</v>
      </c>
      <c r="N297" s="0" t="s">
        <v>282</v>
      </c>
      <c r="O297" s="0" t="s">
        <v>50</v>
      </c>
      <c r="P297" s="0" t="s">
        <v>1794</v>
      </c>
      <c r="Q297" s="0" t="n">
        <v>-1</v>
      </c>
      <c r="R297" s="0" t="n">
        <v>-1</v>
      </c>
      <c r="S297" s="0" t="n">
        <v>-1</v>
      </c>
      <c r="T297" s="0" t="n">
        <v>-1</v>
      </c>
      <c r="U297" s="0" t="n">
        <v>-1</v>
      </c>
      <c r="V297" s="0" t="s">
        <v>50</v>
      </c>
      <c r="W297" s="0" t="s">
        <v>50</v>
      </c>
      <c r="X297" s="0" t="s">
        <v>50</v>
      </c>
      <c r="Y297" s="0" t="s">
        <v>50</v>
      </c>
      <c r="Z297" s="0" t="s">
        <v>50</v>
      </c>
      <c r="AA297" s="0" t="s">
        <v>50</v>
      </c>
      <c r="AB297" s="0" t="s">
        <v>50</v>
      </c>
      <c r="AC297" s="0" t="s">
        <v>455</v>
      </c>
      <c r="AD297" s="0" t="s">
        <v>226</v>
      </c>
      <c r="AE297" s="0" t="s">
        <v>1788</v>
      </c>
      <c r="AF297" s="0" t="s">
        <v>1789</v>
      </c>
      <c r="AG297" s="0" t="s">
        <v>1790</v>
      </c>
      <c r="AH297" s="0" t="s">
        <v>1791</v>
      </c>
      <c r="AI297" s="0" t="s">
        <v>50</v>
      </c>
      <c r="AJ297" s="0" t="s">
        <v>50</v>
      </c>
      <c r="AK297" s="0" t="s">
        <v>50</v>
      </c>
      <c r="AL297" s="0" t="s">
        <v>50</v>
      </c>
    </row>
    <row r="298" customFormat="false" ht="13.8" hidden="false" customHeight="false" outlineLevel="0" collapsed="false">
      <c r="B298" s="0" t="str">
        <f aca="false">HYPERLINK("https://genome.ucsc.edu/cgi-bin/hgTracks?db=hg19&amp;position=chr4%3A100527727%2D100527727", "chr4:100527727")</f>
        <v>chr4:100527727</v>
      </c>
      <c r="C298" s="0" t="s">
        <v>318</v>
      </c>
      <c r="D298" s="0" t="n">
        <v>100527727</v>
      </c>
      <c r="E298" s="0" t="n">
        <v>100527727</v>
      </c>
      <c r="F298" s="0" t="s">
        <v>75</v>
      </c>
      <c r="G298" s="0" t="s">
        <v>74</v>
      </c>
      <c r="H298" s="0" t="s">
        <v>1186</v>
      </c>
      <c r="I298" s="0" t="s">
        <v>678</v>
      </c>
      <c r="J298" s="0" t="s">
        <v>1162</v>
      </c>
      <c r="K298" s="0" t="s">
        <v>50</v>
      </c>
      <c r="L298" s="0" t="s">
        <v>50</v>
      </c>
      <c r="M298" s="0" t="str">
        <f aca="false">HYPERLINK("https://www.genecards.org/Search/Keyword?queryString=%5Baliases%5D(%20MTTP%20)&amp;keywords=MTTP", "MTTP")</f>
        <v>MTTP</v>
      </c>
      <c r="N298" s="0" t="s">
        <v>347</v>
      </c>
      <c r="O298" s="0" t="s">
        <v>50</v>
      </c>
      <c r="P298" s="0" t="s">
        <v>50</v>
      </c>
      <c r="Q298" s="0" t="n">
        <v>-1</v>
      </c>
      <c r="R298" s="0" t="n">
        <v>-1</v>
      </c>
      <c r="S298" s="0" t="n">
        <v>-1</v>
      </c>
      <c r="T298" s="0" t="n">
        <v>-1</v>
      </c>
      <c r="U298" s="0" t="n">
        <v>-1</v>
      </c>
      <c r="V298" s="0" t="s">
        <v>50</v>
      </c>
      <c r="W298" s="0" t="s">
        <v>50</v>
      </c>
      <c r="X298" s="0" t="s">
        <v>348</v>
      </c>
      <c r="Y298" s="0" t="s">
        <v>82</v>
      </c>
      <c r="Z298" s="0" t="s">
        <v>50</v>
      </c>
      <c r="AA298" s="0" t="s">
        <v>50</v>
      </c>
      <c r="AB298" s="0" t="s">
        <v>50</v>
      </c>
      <c r="AC298" s="0" t="s">
        <v>53</v>
      </c>
      <c r="AD298" s="0" t="s">
        <v>54</v>
      </c>
      <c r="AE298" s="0" t="s">
        <v>1795</v>
      </c>
      <c r="AF298" s="0" t="s">
        <v>1796</v>
      </c>
      <c r="AG298" s="0" t="s">
        <v>1797</v>
      </c>
      <c r="AH298" s="0" t="s">
        <v>1798</v>
      </c>
      <c r="AI298" s="0" t="s">
        <v>50</v>
      </c>
      <c r="AJ298" s="0" t="s">
        <v>50</v>
      </c>
      <c r="AK298" s="0" t="s">
        <v>50</v>
      </c>
      <c r="AL298" s="0" t="s">
        <v>50</v>
      </c>
    </row>
    <row r="299" customFormat="false" ht="13.8" hidden="false" customHeight="false" outlineLevel="0" collapsed="false">
      <c r="B299" s="0" t="str">
        <f aca="false">HYPERLINK("https://genome.ucsc.edu/cgi-bin/hgTracks?db=hg19&amp;position=chr4%3A103826631%2D103826631", "chr4:103826631")</f>
        <v>chr4:103826631</v>
      </c>
      <c r="C299" s="0" t="s">
        <v>318</v>
      </c>
      <c r="D299" s="0" t="n">
        <v>103826631</v>
      </c>
      <c r="E299" s="0" t="n">
        <v>103826631</v>
      </c>
      <c r="F299" s="0" t="s">
        <v>75</v>
      </c>
      <c r="G299" s="0" t="s">
        <v>40</v>
      </c>
      <c r="H299" s="0" t="s">
        <v>1098</v>
      </c>
      <c r="I299" s="0" t="s">
        <v>816</v>
      </c>
      <c r="J299" s="0" t="s">
        <v>1799</v>
      </c>
      <c r="K299" s="0" t="s">
        <v>50</v>
      </c>
      <c r="L299" s="0" t="s">
        <v>50</v>
      </c>
      <c r="M299" s="0" t="str">
        <f aca="false">HYPERLINK("https://www.genecards.org/Search/Keyword?queryString=%5Baliases%5D(%20SLC9B1%20)&amp;keywords=SLC9B1", "SLC9B1")</f>
        <v>SLC9B1</v>
      </c>
      <c r="N299" s="0" t="s">
        <v>80</v>
      </c>
      <c r="O299" s="0" t="s">
        <v>50</v>
      </c>
      <c r="P299" s="0" t="s">
        <v>50</v>
      </c>
      <c r="Q299" s="0" t="n">
        <v>0.0141</v>
      </c>
      <c r="R299" s="0" t="n">
        <v>0.0007</v>
      </c>
      <c r="S299" s="0" t="n">
        <v>0.0007</v>
      </c>
      <c r="T299" s="0" t="n">
        <v>-1</v>
      </c>
      <c r="U299" s="0" t="n">
        <v>-1</v>
      </c>
      <c r="V299" s="0" t="s">
        <v>50</v>
      </c>
      <c r="W299" s="0" t="s">
        <v>50</v>
      </c>
      <c r="X299" s="0" t="s">
        <v>49</v>
      </c>
      <c r="Y299" s="0" t="s">
        <v>82</v>
      </c>
      <c r="Z299" s="0" t="s">
        <v>50</v>
      </c>
      <c r="AA299" s="0" t="s">
        <v>50</v>
      </c>
      <c r="AB299" s="0" t="s">
        <v>50</v>
      </c>
      <c r="AC299" s="0" t="s">
        <v>53</v>
      </c>
      <c r="AD299" s="0" t="s">
        <v>226</v>
      </c>
      <c r="AE299" s="0" t="s">
        <v>539</v>
      </c>
      <c r="AF299" s="0" t="s">
        <v>540</v>
      </c>
      <c r="AG299" s="0" t="s">
        <v>50</v>
      </c>
      <c r="AH299" s="0" t="s">
        <v>50</v>
      </c>
      <c r="AI299" s="0" t="s">
        <v>50</v>
      </c>
      <c r="AJ299" s="0" t="s">
        <v>50</v>
      </c>
      <c r="AK299" s="0" t="s">
        <v>50</v>
      </c>
      <c r="AL299" s="0" t="s">
        <v>474</v>
      </c>
    </row>
    <row r="300" customFormat="false" ht="13.8" hidden="false" customHeight="false" outlineLevel="0" collapsed="false">
      <c r="B300" s="0" t="str">
        <f aca="false">HYPERLINK("https://genome.ucsc.edu/cgi-bin/hgTracks?db=hg19&amp;position=chr4%3A119657886%2D119657886", "chr4:119657886")</f>
        <v>chr4:119657886</v>
      </c>
      <c r="C300" s="0" t="s">
        <v>318</v>
      </c>
      <c r="D300" s="0" t="n">
        <v>119657886</v>
      </c>
      <c r="E300" s="0" t="n">
        <v>119657886</v>
      </c>
      <c r="F300" s="0" t="s">
        <v>40</v>
      </c>
      <c r="G300" s="0" t="s">
        <v>39</v>
      </c>
      <c r="H300" s="0" t="s">
        <v>1800</v>
      </c>
      <c r="I300" s="0" t="s">
        <v>1066</v>
      </c>
      <c r="J300" s="0" t="s">
        <v>1801</v>
      </c>
      <c r="K300" s="0" t="s">
        <v>50</v>
      </c>
      <c r="L300" s="0" t="str">
        <f aca="false">HYPERLINK("https://www.ncbi.nlm.nih.gov/snp/rs138874839", "rs138874839")</f>
        <v>rs138874839</v>
      </c>
      <c r="M300" s="0" t="str">
        <f aca="false">HYPERLINK("https://www.genecards.org/Search/Keyword?queryString=%5Baliases%5D(%20SEC24D%20)&amp;keywords=SEC24D", "SEC24D")</f>
        <v>SEC24D</v>
      </c>
      <c r="N300" s="0" t="s">
        <v>80</v>
      </c>
      <c r="O300" s="0" t="s">
        <v>50</v>
      </c>
      <c r="P300" s="0" t="s">
        <v>50</v>
      </c>
      <c r="Q300" s="0" t="n">
        <v>0.0112</v>
      </c>
      <c r="R300" s="0" t="n">
        <v>0.005</v>
      </c>
      <c r="S300" s="0" t="n">
        <v>0.0046</v>
      </c>
      <c r="T300" s="0" t="n">
        <v>-1</v>
      </c>
      <c r="U300" s="0" t="n">
        <v>0.0051</v>
      </c>
      <c r="V300" s="0" t="s">
        <v>50</v>
      </c>
      <c r="W300" s="0" t="s">
        <v>50</v>
      </c>
      <c r="X300" s="0" t="s">
        <v>49</v>
      </c>
      <c r="Y300" s="0" t="s">
        <v>82</v>
      </c>
      <c r="Z300" s="0" t="s">
        <v>50</v>
      </c>
      <c r="AA300" s="0" t="s">
        <v>50</v>
      </c>
      <c r="AB300" s="0" t="s">
        <v>50</v>
      </c>
      <c r="AC300" s="0" t="s">
        <v>53</v>
      </c>
      <c r="AD300" s="0" t="s">
        <v>54</v>
      </c>
      <c r="AE300" s="0" t="s">
        <v>1802</v>
      </c>
      <c r="AF300" s="0" t="s">
        <v>1803</v>
      </c>
      <c r="AG300" s="0" t="s">
        <v>1804</v>
      </c>
      <c r="AH300" s="0" t="s">
        <v>50</v>
      </c>
      <c r="AI300" s="0" t="s">
        <v>50</v>
      </c>
      <c r="AJ300" s="0" t="s">
        <v>50</v>
      </c>
      <c r="AK300" s="0" t="s">
        <v>50</v>
      </c>
      <c r="AL300" s="0" t="s">
        <v>50</v>
      </c>
    </row>
    <row r="301" customFormat="false" ht="13.8" hidden="false" customHeight="false" outlineLevel="0" collapsed="false">
      <c r="B301" s="0" t="str">
        <f aca="false">HYPERLINK("https://genome.ucsc.edu/cgi-bin/hgTracks?db=hg19&amp;position=chr4%3A175899088%2D175899088", "chr4:175899088")</f>
        <v>chr4:175899088</v>
      </c>
      <c r="C301" s="0" t="s">
        <v>318</v>
      </c>
      <c r="D301" s="0" t="n">
        <v>175899088</v>
      </c>
      <c r="E301" s="0" t="n">
        <v>175899088</v>
      </c>
      <c r="F301" s="0" t="s">
        <v>308</v>
      </c>
      <c r="G301" s="0" t="s">
        <v>1805</v>
      </c>
      <c r="H301" s="0" t="s">
        <v>1806</v>
      </c>
      <c r="I301" s="0" t="s">
        <v>138</v>
      </c>
      <c r="J301" s="0" t="s">
        <v>1807</v>
      </c>
      <c r="K301" s="0" t="s">
        <v>50</v>
      </c>
      <c r="L301" s="0" t="s">
        <v>50</v>
      </c>
      <c r="M301" s="0" t="str">
        <f aca="false">HYPERLINK("https://www.genecards.org/Search/Keyword?queryString=%5Baliases%5D(%20ADAM29%20)&amp;keywords=ADAM29", "ADAM29")</f>
        <v>ADAM29</v>
      </c>
      <c r="N301" s="0" t="s">
        <v>92</v>
      </c>
      <c r="O301" s="0" t="s">
        <v>93</v>
      </c>
      <c r="P301" s="0" t="s">
        <v>1808</v>
      </c>
      <c r="Q301" s="0" t="n">
        <v>9.553E-005</v>
      </c>
      <c r="R301" s="0" t="n">
        <v>-1</v>
      </c>
      <c r="S301" s="0" t="n">
        <v>-1</v>
      </c>
      <c r="T301" s="0" t="n">
        <v>-1</v>
      </c>
      <c r="U301" s="0" t="n">
        <v>-1</v>
      </c>
      <c r="V301" s="0" t="s">
        <v>50</v>
      </c>
      <c r="W301" s="0" t="s">
        <v>50</v>
      </c>
      <c r="X301" s="0" t="s">
        <v>50</v>
      </c>
      <c r="Y301" s="0" t="s">
        <v>50</v>
      </c>
      <c r="Z301" s="0" t="s">
        <v>50</v>
      </c>
      <c r="AA301" s="0" t="s">
        <v>50</v>
      </c>
      <c r="AB301" s="0" t="s">
        <v>50</v>
      </c>
      <c r="AC301" s="0" t="s">
        <v>53</v>
      </c>
      <c r="AD301" s="0" t="s">
        <v>54</v>
      </c>
      <c r="AE301" s="0" t="s">
        <v>1809</v>
      </c>
      <c r="AF301" s="0" t="s">
        <v>1810</v>
      </c>
      <c r="AG301" s="0" t="s">
        <v>1811</v>
      </c>
      <c r="AH301" s="0" t="s">
        <v>50</v>
      </c>
      <c r="AI301" s="0" t="s">
        <v>50</v>
      </c>
      <c r="AJ301" s="0" t="s">
        <v>50</v>
      </c>
      <c r="AK301" s="0" t="s">
        <v>50</v>
      </c>
      <c r="AL301" s="0" t="s">
        <v>50</v>
      </c>
    </row>
    <row r="302" customFormat="false" ht="13.8" hidden="false" customHeight="false" outlineLevel="0" collapsed="false">
      <c r="B302" s="0" t="str">
        <f aca="false">HYPERLINK("https://genome.ucsc.edu/cgi-bin/hgTracks?db=hg19&amp;position=chr4%3A186606053%2D186606053", "chr4:186606053")</f>
        <v>chr4:186606053</v>
      </c>
      <c r="C302" s="0" t="s">
        <v>318</v>
      </c>
      <c r="D302" s="0" t="n">
        <v>186606053</v>
      </c>
      <c r="E302" s="0" t="n">
        <v>186606053</v>
      </c>
      <c r="F302" s="0" t="s">
        <v>74</v>
      </c>
      <c r="G302" s="0" t="s">
        <v>75</v>
      </c>
      <c r="H302" s="0" t="s">
        <v>1812</v>
      </c>
      <c r="I302" s="0" t="s">
        <v>1420</v>
      </c>
      <c r="J302" s="0" t="s">
        <v>1813</v>
      </c>
      <c r="K302" s="0" t="s">
        <v>50</v>
      </c>
      <c r="L302" s="0" t="str">
        <f aca="false">HYPERLINK("https://www.ncbi.nlm.nih.gov/snp/rs77841531", "rs77841531")</f>
        <v>rs77841531</v>
      </c>
      <c r="M302" s="0" t="str">
        <f aca="false">HYPERLINK("https://www.genecards.org/Search/Keyword?queryString=%5Baliases%5D(%20SORBS2%20)&amp;keywords=SORBS2", "SORBS2")</f>
        <v>SORBS2</v>
      </c>
      <c r="N302" s="0" t="s">
        <v>80</v>
      </c>
      <c r="O302" s="0" t="s">
        <v>50</v>
      </c>
      <c r="P302" s="0" t="s">
        <v>50</v>
      </c>
      <c r="Q302" s="0" t="n">
        <v>0.015</v>
      </c>
      <c r="R302" s="0" t="n">
        <v>0.0095</v>
      </c>
      <c r="S302" s="0" t="n">
        <v>0.0074</v>
      </c>
      <c r="T302" s="0" t="n">
        <v>-1</v>
      </c>
      <c r="U302" s="0" t="n">
        <v>0.0141</v>
      </c>
      <c r="V302" s="0" t="s">
        <v>50</v>
      </c>
      <c r="W302" s="0" t="s">
        <v>50</v>
      </c>
      <c r="X302" s="0" t="s">
        <v>81</v>
      </c>
      <c r="Y302" s="0" t="s">
        <v>82</v>
      </c>
      <c r="Z302" s="0" t="s">
        <v>50</v>
      </c>
      <c r="AA302" s="0" t="s">
        <v>50</v>
      </c>
      <c r="AB302" s="0" t="s">
        <v>50</v>
      </c>
      <c r="AC302" s="0" t="s">
        <v>53</v>
      </c>
      <c r="AD302" s="0" t="s">
        <v>226</v>
      </c>
      <c r="AE302" s="0" t="s">
        <v>1814</v>
      </c>
      <c r="AF302" s="0" t="s">
        <v>1815</v>
      </c>
      <c r="AG302" s="0" t="s">
        <v>1816</v>
      </c>
      <c r="AH302" s="0" t="s">
        <v>50</v>
      </c>
      <c r="AI302" s="0" t="s">
        <v>50</v>
      </c>
      <c r="AJ302" s="0" t="s">
        <v>50</v>
      </c>
      <c r="AK302" s="0" t="s">
        <v>50</v>
      </c>
      <c r="AL302" s="0" t="s">
        <v>50</v>
      </c>
    </row>
    <row r="303" customFormat="false" ht="13.8" hidden="false" customHeight="false" outlineLevel="0" collapsed="false">
      <c r="B303" s="0" t="str">
        <f aca="false">HYPERLINK("https://genome.ucsc.edu/cgi-bin/hgTracks?db=hg19&amp;position=chr4%3A186606054%2D186606054", "chr4:186606054")</f>
        <v>chr4:186606054</v>
      </c>
      <c r="C303" s="0" t="s">
        <v>318</v>
      </c>
      <c r="D303" s="0" t="n">
        <v>186606054</v>
      </c>
      <c r="E303" s="0" t="n">
        <v>186606054</v>
      </c>
      <c r="F303" s="0" t="s">
        <v>39</v>
      </c>
      <c r="G303" s="0" t="s">
        <v>75</v>
      </c>
      <c r="H303" s="0" t="s">
        <v>1812</v>
      </c>
      <c r="I303" s="0" t="s">
        <v>1420</v>
      </c>
      <c r="J303" s="0" t="s">
        <v>1813</v>
      </c>
      <c r="K303" s="0" t="s">
        <v>50</v>
      </c>
      <c r="L303" s="0" t="str">
        <f aca="false">HYPERLINK("https://www.ncbi.nlm.nih.gov/snp/rs77974371", "rs77974371")</f>
        <v>rs77974371</v>
      </c>
      <c r="M303" s="0" t="str">
        <f aca="false">HYPERLINK("https://www.genecards.org/Search/Keyword?queryString=%5Baliases%5D(%20SORBS2%20)&amp;keywords=SORBS2", "SORBS2")</f>
        <v>SORBS2</v>
      </c>
      <c r="N303" s="0" t="s">
        <v>80</v>
      </c>
      <c r="O303" s="0" t="s">
        <v>50</v>
      </c>
      <c r="P303" s="0" t="s">
        <v>50</v>
      </c>
      <c r="Q303" s="0" t="n">
        <v>0.015</v>
      </c>
      <c r="R303" s="0" t="n">
        <v>0.0095</v>
      </c>
      <c r="S303" s="0" t="n">
        <v>0.0074</v>
      </c>
      <c r="T303" s="0" t="n">
        <v>-1</v>
      </c>
      <c r="U303" s="0" t="n">
        <v>0.0141</v>
      </c>
      <c r="V303" s="0" t="s">
        <v>50</v>
      </c>
      <c r="W303" s="0" t="s">
        <v>50</v>
      </c>
      <c r="X303" s="0" t="s">
        <v>81</v>
      </c>
      <c r="Y303" s="0" t="s">
        <v>82</v>
      </c>
      <c r="Z303" s="0" t="s">
        <v>50</v>
      </c>
      <c r="AA303" s="0" t="s">
        <v>50</v>
      </c>
      <c r="AB303" s="0" t="s">
        <v>50</v>
      </c>
      <c r="AC303" s="0" t="s">
        <v>53</v>
      </c>
      <c r="AD303" s="0" t="s">
        <v>226</v>
      </c>
      <c r="AE303" s="0" t="s">
        <v>1814</v>
      </c>
      <c r="AF303" s="0" t="s">
        <v>1815</v>
      </c>
      <c r="AG303" s="0" t="s">
        <v>1816</v>
      </c>
      <c r="AH303" s="0" t="s">
        <v>50</v>
      </c>
      <c r="AI303" s="0" t="s">
        <v>50</v>
      </c>
      <c r="AJ303" s="0" t="s">
        <v>50</v>
      </c>
      <c r="AK303" s="0" t="s">
        <v>50</v>
      </c>
      <c r="AL303" s="0" t="s">
        <v>50</v>
      </c>
    </row>
    <row r="304" customFormat="false" ht="13.8" hidden="false" customHeight="false" outlineLevel="0" collapsed="false">
      <c r="B304" s="0" t="str">
        <f aca="false">HYPERLINK("https://genome.ucsc.edu/cgi-bin/hgTracks?db=hg19&amp;position=chr4%3A189012771%2D189012771", "chr4:189012771")</f>
        <v>chr4:189012771</v>
      </c>
      <c r="C304" s="0" t="s">
        <v>318</v>
      </c>
      <c r="D304" s="0" t="n">
        <v>189012771</v>
      </c>
      <c r="E304" s="0" t="n">
        <v>189012771</v>
      </c>
      <c r="F304" s="0" t="s">
        <v>74</v>
      </c>
      <c r="G304" s="0" t="s">
        <v>308</v>
      </c>
      <c r="H304" s="0" t="s">
        <v>1817</v>
      </c>
      <c r="I304" s="0" t="s">
        <v>361</v>
      </c>
      <c r="J304" s="0" t="s">
        <v>1818</v>
      </c>
      <c r="K304" s="0" t="s">
        <v>50</v>
      </c>
      <c r="L304" s="0" t="str">
        <f aca="false">HYPERLINK("https://www.ncbi.nlm.nih.gov/snp/rs1056772748", "rs1056772748")</f>
        <v>rs1056772748</v>
      </c>
      <c r="M304" s="0" t="str">
        <f aca="false">HYPERLINK("https://www.genecards.org/Search/Keyword?queryString=%5Baliases%5D(%20TRIML2%20)&amp;keywords=TRIML2", "TRIML2")</f>
        <v>TRIML2</v>
      </c>
      <c r="N304" s="0" t="s">
        <v>92</v>
      </c>
      <c r="O304" s="0" t="s">
        <v>312</v>
      </c>
      <c r="P304" s="0" t="s">
        <v>1819</v>
      </c>
      <c r="Q304" s="0" t="n">
        <v>-1</v>
      </c>
      <c r="R304" s="0" t="n">
        <v>-1</v>
      </c>
      <c r="S304" s="0" t="n">
        <v>-1</v>
      </c>
      <c r="T304" s="0" t="n">
        <v>-1</v>
      </c>
      <c r="U304" s="0" t="n">
        <v>-1</v>
      </c>
      <c r="V304" s="0" t="s">
        <v>50</v>
      </c>
      <c r="W304" s="0" t="s">
        <v>50</v>
      </c>
      <c r="X304" s="0" t="s">
        <v>50</v>
      </c>
      <c r="Y304" s="0" t="s">
        <v>50</v>
      </c>
      <c r="Z304" s="0" t="s">
        <v>50</v>
      </c>
      <c r="AA304" s="0" t="s">
        <v>50</v>
      </c>
      <c r="AB304" s="0" t="s">
        <v>50</v>
      </c>
      <c r="AC304" s="0" t="s">
        <v>53</v>
      </c>
      <c r="AD304" s="0" t="s">
        <v>54</v>
      </c>
      <c r="AE304" s="0" t="s">
        <v>1820</v>
      </c>
      <c r="AF304" s="0" t="s">
        <v>1821</v>
      </c>
      <c r="AG304" s="0" t="s">
        <v>50</v>
      </c>
      <c r="AH304" s="0" t="s">
        <v>50</v>
      </c>
      <c r="AI304" s="0" t="s">
        <v>50</v>
      </c>
      <c r="AJ304" s="0" t="s">
        <v>50</v>
      </c>
      <c r="AK304" s="0" t="s">
        <v>50</v>
      </c>
      <c r="AL304" s="0" t="s">
        <v>50</v>
      </c>
    </row>
    <row r="305" customFormat="false" ht="13.8" hidden="false" customHeight="false" outlineLevel="0" collapsed="false">
      <c r="B305" s="0" t="str">
        <f aca="false">HYPERLINK("https://genome.ucsc.edu/cgi-bin/hgTracks?db=hg19&amp;position=chr5%3A13885024%2D13885029", "chr5:13885024")</f>
        <v>chr5:13885024</v>
      </c>
      <c r="C305" s="0" t="s">
        <v>149</v>
      </c>
      <c r="D305" s="0" t="n">
        <v>13885024</v>
      </c>
      <c r="E305" s="0" t="n">
        <v>13885029</v>
      </c>
      <c r="F305" s="0" t="s">
        <v>1822</v>
      </c>
      <c r="G305" s="0" t="s">
        <v>308</v>
      </c>
      <c r="H305" s="0" t="s">
        <v>1823</v>
      </c>
      <c r="I305" s="0" t="s">
        <v>1096</v>
      </c>
      <c r="J305" s="0" t="s">
        <v>1824</v>
      </c>
      <c r="K305" s="0" t="s">
        <v>50</v>
      </c>
      <c r="L305" s="0" t="s">
        <v>50</v>
      </c>
      <c r="M305" s="0" t="str">
        <f aca="false">HYPERLINK("https://www.genecards.org/Search/Keyword?queryString=%5Baliases%5D(%20DNAH5%20)&amp;keywords=DNAH5", "DNAH5")</f>
        <v>DNAH5</v>
      </c>
      <c r="N305" s="0" t="s">
        <v>347</v>
      </c>
      <c r="O305" s="0" t="s">
        <v>50</v>
      </c>
      <c r="P305" s="0" t="s">
        <v>50</v>
      </c>
      <c r="Q305" s="0" t="n">
        <v>0.0002689</v>
      </c>
      <c r="R305" s="0" t="n">
        <v>-1</v>
      </c>
      <c r="S305" s="0" t="n">
        <v>-1</v>
      </c>
      <c r="T305" s="0" t="n">
        <v>-1</v>
      </c>
      <c r="U305" s="0" t="n">
        <v>-1</v>
      </c>
      <c r="V305" s="0" t="s">
        <v>50</v>
      </c>
      <c r="W305" s="0" t="s">
        <v>50</v>
      </c>
      <c r="X305" s="0" t="s">
        <v>50</v>
      </c>
      <c r="Y305" s="0" t="s">
        <v>50</v>
      </c>
      <c r="Z305" s="0" t="s">
        <v>50</v>
      </c>
      <c r="AA305" s="0" t="s">
        <v>50</v>
      </c>
      <c r="AB305" s="0" t="s">
        <v>50</v>
      </c>
      <c r="AC305" s="0" t="s">
        <v>455</v>
      </c>
      <c r="AD305" s="0" t="s">
        <v>355</v>
      </c>
      <c r="AE305" s="0" t="s">
        <v>1825</v>
      </c>
      <c r="AF305" s="0" t="s">
        <v>1826</v>
      </c>
      <c r="AG305" s="0" t="s">
        <v>1827</v>
      </c>
      <c r="AH305" s="0" t="s">
        <v>1828</v>
      </c>
      <c r="AI305" s="0" t="s">
        <v>50</v>
      </c>
      <c r="AJ305" s="0" t="s">
        <v>50</v>
      </c>
      <c r="AK305" s="0" t="s">
        <v>50</v>
      </c>
      <c r="AL305" s="0" t="s">
        <v>50</v>
      </c>
    </row>
    <row r="306" customFormat="false" ht="13.8" hidden="false" customHeight="false" outlineLevel="0" collapsed="false">
      <c r="B306" s="0" t="str">
        <f aca="false">HYPERLINK("https://genome.ucsc.edu/cgi-bin/hgTracks?db=hg19&amp;position=chr5%3A13885028%2D13885029", "chr5:13885028")</f>
        <v>chr5:13885028</v>
      </c>
      <c r="C306" s="0" t="s">
        <v>149</v>
      </c>
      <c r="D306" s="0" t="n">
        <v>13885028</v>
      </c>
      <c r="E306" s="0" t="n">
        <v>13885029</v>
      </c>
      <c r="F306" s="0" t="s">
        <v>1305</v>
      </c>
      <c r="G306" s="0" t="s">
        <v>308</v>
      </c>
      <c r="H306" s="0" t="s">
        <v>1823</v>
      </c>
      <c r="I306" s="0" t="s">
        <v>1096</v>
      </c>
      <c r="J306" s="0" t="s">
        <v>1824</v>
      </c>
      <c r="K306" s="0" t="s">
        <v>50</v>
      </c>
      <c r="L306" s="0" t="s">
        <v>50</v>
      </c>
      <c r="M306" s="0" t="str">
        <f aca="false">HYPERLINK("https://www.genecards.org/Search/Keyword?queryString=%5Baliases%5D(%20DNAH5%20)&amp;keywords=DNAH5", "DNAH5")</f>
        <v>DNAH5</v>
      </c>
      <c r="N306" s="0" t="s">
        <v>347</v>
      </c>
      <c r="O306" s="0" t="s">
        <v>50</v>
      </c>
      <c r="P306" s="0" t="s">
        <v>50</v>
      </c>
      <c r="Q306" s="0" t="n">
        <v>-1</v>
      </c>
      <c r="R306" s="0" t="n">
        <v>-1</v>
      </c>
      <c r="S306" s="0" t="n">
        <v>-1</v>
      </c>
      <c r="T306" s="0" t="n">
        <v>-1</v>
      </c>
      <c r="U306" s="0" t="n">
        <v>-1</v>
      </c>
      <c r="V306" s="0" t="s">
        <v>50</v>
      </c>
      <c r="W306" s="0" t="s">
        <v>50</v>
      </c>
      <c r="X306" s="0" t="s">
        <v>50</v>
      </c>
      <c r="Y306" s="0" t="s">
        <v>50</v>
      </c>
      <c r="Z306" s="0" t="s">
        <v>50</v>
      </c>
      <c r="AA306" s="0" t="s">
        <v>50</v>
      </c>
      <c r="AB306" s="0" t="s">
        <v>50</v>
      </c>
      <c r="AC306" s="0" t="s">
        <v>455</v>
      </c>
      <c r="AD306" s="0" t="s">
        <v>355</v>
      </c>
      <c r="AE306" s="0" t="s">
        <v>1825</v>
      </c>
      <c r="AF306" s="0" t="s">
        <v>1826</v>
      </c>
      <c r="AG306" s="0" t="s">
        <v>1827</v>
      </c>
      <c r="AH306" s="0" t="s">
        <v>1828</v>
      </c>
      <c r="AI306" s="0" t="s">
        <v>50</v>
      </c>
      <c r="AJ306" s="0" t="s">
        <v>50</v>
      </c>
      <c r="AK306" s="0" t="s">
        <v>50</v>
      </c>
      <c r="AL306" s="0" t="s">
        <v>50</v>
      </c>
    </row>
    <row r="307" customFormat="false" ht="13.8" hidden="false" customHeight="false" outlineLevel="0" collapsed="false">
      <c r="B307" s="0" t="str">
        <f aca="false">HYPERLINK("https://genome.ucsc.edu/cgi-bin/hgTracks?db=hg19&amp;position=chr5%3A13886246%2D13886246", "chr5:13886246")</f>
        <v>chr5:13886246</v>
      </c>
      <c r="C307" s="0" t="s">
        <v>149</v>
      </c>
      <c r="D307" s="0" t="n">
        <v>13886246</v>
      </c>
      <c r="E307" s="0" t="n">
        <v>13886246</v>
      </c>
      <c r="F307" s="0" t="s">
        <v>75</v>
      </c>
      <c r="G307" s="0" t="s">
        <v>308</v>
      </c>
      <c r="H307" s="0" t="s">
        <v>1829</v>
      </c>
      <c r="I307" s="0" t="s">
        <v>1830</v>
      </c>
      <c r="J307" s="0" t="s">
        <v>1831</v>
      </c>
      <c r="K307" s="0" t="s">
        <v>50</v>
      </c>
      <c r="L307" s="0" t="s">
        <v>50</v>
      </c>
      <c r="M307" s="0" t="str">
        <f aca="false">HYPERLINK("https://www.genecards.org/Search/Keyword?queryString=%5Baliases%5D(%20DNAH5%20)&amp;keywords=DNAH5", "DNAH5")</f>
        <v>DNAH5</v>
      </c>
      <c r="N307" s="0" t="s">
        <v>347</v>
      </c>
      <c r="O307" s="0" t="s">
        <v>50</v>
      </c>
      <c r="P307" s="0" t="s">
        <v>50</v>
      </c>
      <c r="Q307" s="0" t="n">
        <v>-1</v>
      </c>
      <c r="R307" s="0" t="n">
        <v>-1</v>
      </c>
      <c r="S307" s="0" t="n">
        <v>-1</v>
      </c>
      <c r="T307" s="0" t="n">
        <v>-1</v>
      </c>
      <c r="U307" s="0" t="n">
        <v>-1</v>
      </c>
      <c r="V307" s="0" t="s">
        <v>50</v>
      </c>
      <c r="W307" s="0" t="s">
        <v>50</v>
      </c>
      <c r="X307" s="0" t="s">
        <v>50</v>
      </c>
      <c r="Y307" s="0" t="s">
        <v>50</v>
      </c>
      <c r="Z307" s="0" t="s">
        <v>50</v>
      </c>
      <c r="AA307" s="0" t="s">
        <v>50</v>
      </c>
      <c r="AB307" s="0" t="s">
        <v>50</v>
      </c>
      <c r="AC307" s="0" t="s">
        <v>455</v>
      </c>
      <c r="AD307" s="0" t="s">
        <v>355</v>
      </c>
      <c r="AE307" s="0" t="s">
        <v>1825</v>
      </c>
      <c r="AF307" s="0" t="s">
        <v>1826</v>
      </c>
      <c r="AG307" s="0" t="s">
        <v>1827</v>
      </c>
      <c r="AH307" s="0" t="s">
        <v>1828</v>
      </c>
      <c r="AI307" s="0" t="s">
        <v>50</v>
      </c>
      <c r="AJ307" s="0" t="s">
        <v>50</v>
      </c>
      <c r="AK307" s="0" t="s">
        <v>50</v>
      </c>
      <c r="AL307" s="0" t="s">
        <v>50</v>
      </c>
    </row>
    <row r="308" customFormat="false" ht="13.8" hidden="false" customHeight="false" outlineLevel="0" collapsed="false">
      <c r="B308" s="0" t="str">
        <f aca="false">HYPERLINK("https://genome.ucsc.edu/cgi-bin/hgTracks?db=hg19&amp;position=chr5%3A16689713%2D16689713", "chr5:16689713")</f>
        <v>chr5:16689713</v>
      </c>
      <c r="C308" s="0" t="s">
        <v>149</v>
      </c>
      <c r="D308" s="0" t="n">
        <v>16689713</v>
      </c>
      <c r="E308" s="0" t="n">
        <v>16689713</v>
      </c>
      <c r="F308" s="0" t="s">
        <v>74</v>
      </c>
      <c r="G308" s="0" t="s">
        <v>39</v>
      </c>
      <c r="H308" s="0" t="s">
        <v>1832</v>
      </c>
      <c r="I308" s="0" t="s">
        <v>302</v>
      </c>
      <c r="J308" s="0" t="s">
        <v>607</v>
      </c>
      <c r="K308" s="0" t="s">
        <v>50</v>
      </c>
      <c r="L308" s="0" t="str">
        <f aca="false">HYPERLINK("https://www.ncbi.nlm.nih.gov/snp/rs147574228", "rs147574228")</f>
        <v>rs147574228</v>
      </c>
      <c r="M308" s="0" t="str">
        <f aca="false">HYPERLINK("https://www.genecards.org/Search/Keyword?queryString=%5Baliases%5D(%20MYO10%20)&amp;keywords=MYO10", "MYO10")</f>
        <v>MYO10</v>
      </c>
      <c r="N308" s="0" t="s">
        <v>80</v>
      </c>
      <c r="O308" s="0" t="s">
        <v>50</v>
      </c>
      <c r="P308" s="0" t="s">
        <v>50</v>
      </c>
      <c r="Q308" s="0" t="n">
        <v>0.0155</v>
      </c>
      <c r="R308" s="0" t="n">
        <v>0.0085</v>
      </c>
      <c r="S308" s="0" t="n">
        <v>0.0095</v>
      </c>
      <c r="T308" s="0" t="n">
        <v>-1</v>
      </c>
      <c r="U308" s="0" t="n">
        <v>0.0074</v>
      </c>
      <c r="V308" s="0" t="s">
        <v>50</v>
      </c>
      <c r="W308" s="0" t="s">
        <v>50</v>
      </c>
      <c r="X308" s="0" t="s">
        <v>49</v>
      </c>
      <c r="Y308" s="0" t="s">
        <v>82</v>
      </c>
      <c r="Z308" s="0" t="s">
        <v>50</v>
      </c>
      <c r="AA308" s="0" t="s">
        <v>50</v>
      </c>
      <c r="AB308" s="0" t="s">
        <v>50</v>
      </c>
      <c r="AC308" s="0" t="s">
        <v>53</v>
      </c>
      <c r="AD308" s="0" t="s">
        <v>54</v>
      </c>
      <c r="AE308" s="0" t="s">
        <v>1833</v>
      </c>
      <c r="AF308" s="0" t="s">
        <v>1834</v>
      </c>
      <c r="AG308" s="0" t="s">
        <v>1835</v>
      </c>
      <c r="AH308" s="0" t="s">
        <v>50</v>
      </c>
      <c r="AI308" s="0" t="s">
        <v>50</v>
      </c>
      <c r="AJ308" s="0" t="s">
        <v>50</v>
      </c>
      <c r="AK308" s="0" t="s">
        <v>50</v>
      </c>
      <c r="AL308" s="0" t="s">
        <v>50</v>
      </c>
    </row>
    <row r="309" customFormat="false" ht="13.8" hidden="false" customHeight="false" outlineLevel="0" collapsed="false">
      <c r="B309" s="0" t="str">
        <f aca="false">HYPERLINK("https://genome.ucsc.edu/cgi-bin/hgTracks?db=hg19&amp;position=chr5%3A56155871%2D56155871", "chr5:56155871")</f>
        <v>chr5:56155871</v>
      </c>
      <c r="C309" s="0" t="s">
        <v>149</v>
      </c>
      <c r="D309" s="0" t="n">
        <v>56155871</v>
      </c>
      <c r="E309" s="0" t="n">
        <v>56155871</v>
      </c>
      <c r="F309" s="0" t="s">
        <v>74</v>
      </c>
      <c r="G309" s="0" t="s">
        <v>308</v>
      </c>
      <c r="H309" s="0" t="s">
        <v>1836</v>
      </c>
      <c r="I309" s="0" t="s">
        <v>776</v>
      </c>
      <c r="J309" s="0" t="s">
        <v>1837</v>
      </c>
      <c r="K309" s="0" t="s">
        <v>50</v>
      </c>
      <c r="L309" s="0" t="str">
        <f aca="false">HYPERLINK("https://www.ncbi.nlm.nih.gov/snp/rs1001645984", "rs1001645984")</f>
        <v>rs1001645984</v>
      </c>
      <c r="M309" s="0" t="str">
        <f aca="false">HYPERLINK("https://www.genecards.org/Search/Keyword?queryString=%5Baliases%5D(%20MAP3K1%20)&amp;keywords=MAP3K1", "MAP3K1")</f>
        <v>MAP3K1</v>
      </c>
      <c r="N309" s="0" t="s">
        <v>347</v>
      </c>
      <c r="O309" s="0" t="s">
        <v>50</v>
      </c>
      <c r="P309" s="0" t="s">
        <v>50</v>
      </c>
      <c r="Q309" s="0" t="n">
        <v>0.0013</v>
      </c>
      <c r="R309" s="0" t="n">
        <v>0.0013</v>
      </c>
      <c r="S309" s="0" t="n">
        <v>0.0013</v>
      </c>
      <c r="T309" s="0" t="n">
        <v>-1</v>
      </c>
      <c r="U309" s="0" t="n">
        <v>0.0011</v>
      </c>
      <c r="V309" s="0" t="s">
        <v>50</v>
      </c>
      <c r="W309" s="0" t="s">
        <v>50</v>
      </c>
      <c r="X309" s="0" t="s">
        <v>50</v>
      </c>
      <c r="Y309" s="0" t="s">
        <v>50</v>
      </c>
      <c r="Z309" s="0" t="s">
        <v>50</v>
      </c>
      <c r="AA309" s="0" t="s">
        <v>50</v>
      </c>
      <c r="AB309" s="0" t="s">
        <v>50</v>
      </c>
      <c r="AC309" s="0" t="s">
        <v>53</v>
      </c>
      <c r="AD309" s="0" t="s">
        <v>54</v>
      </c>
      <c r="AE309" s="0" t="s">
        <v>1838</v>
      </c>
      <c r="AF309" s="0" t="s">
        <v>1839</v>
      </c>
      <c r="AG309" s="0" t="s">
        <v>1840</v>
      </c>
      <c r="AH309" s="0" t="s">
        <v>1841</v>
      </c>
      <c r="AI309" s="0" t="s">
        <v>50</v>
      </c>
      <c r="AJ309" s="0" t="s">
        <v>50</v>
      </c>
      <c r="AK309" s="0" t="s">
        <v>50</v>
      </c>
      <c r="AL309" s="0" t="s">
        <v>50</v>
      </c>
    </row>
    <row r="310" customFormat="false" ht="13.8" hidden="false" customHeight="false" outlineLevel="0" collapsed="false">
      <c r="B310" s="0" t="str">
        <f aca="false">HYPERLINK("https://genome.ucsc.edu/cgi-bin/hgTracks?db=hg19&amp;position=chr5%3A65088487%2D65088487", "chr5:65088487")</f>
        <v>chr5:65088487</v>
      </c>
      <c r="C310" s="0" t="s">
        <v>149</v>
      </c>
      <c r="D310" s="0" t="n">
        <v>65088487</v>
      </c>
      <c r="E310" s="0" t="n">
        <v>65088487</v>
      </c>
      <c r="F310" s="0" t="s">
        <v>308</v>
      </c>
      <c r="G310" s="0" t="s">
        <v>40</v>
      </c>
      <c r="H310" s="0" t="s">
        <v>626</v>
      </c>
      <c r="I310" s="0" t="s">
        <v>621</v>
      </c>
      <c r="J310" s="0" t="s">
        <v>1842</v>
      </c>
      <c r="K310" s="0" t="s">
        <v>50</v>
      </c>
      <c r="L310" s="0" t="str">
        <f aca="false">HYPERLINK("https://www.ncbi.nlm.nih.gov/snp/rs766824315", "rs766824315")</f>
        <v>rs766824315</v>
      </c>
      <c r="M310" s="0" t="str">
        <f aca="false">HYPERLINK("https://www.genecards.org/Search/Keyword?queryString=%5Baliases%5D(%20NLN%20)&amp;keywords=NLN", "NLN")</f>
        <v>NLN</v>
      </c>
      <c r="N310" s="0" t="s">
        <v>691</v>
      </c>
      <c r="O310" s="0" t="s">
        <v>323</v>
      </c>
      <c r="P310" s="0" t="s">
        <v>1843</v>
      </c>
      <c r="Q310" s="0" t="n">
        <v>0.0049</v>
      </c>
      <c r="R310" s="0" t="n">
        <v>0.0027</v>
      </c>
      <c r="S310" s="0" t="n">
        <v>0.0039</v>
      </c>
      <c r="T310" s="0" t="n">
        <v>-1</v>
      </c>
      <c r="U310" s="0" t="n">
        <v>0.0093</v>
      </c>
      <c r="V310" s="0" t="s">
        <v>50</v>
      </c>
      <c r="W310" s="0" t="s">
        <v>50</v>
      </c>
      <c r="X310" s="0" t="s">
        <v>50</v>
      </c>
      <c r="Y310" s="0" t="s">
        <v>50</v>
      </c>
      <c r="Z310" s="0" t="s">
        <v>50</v>
      </c>
      <c r="AA310" s="0" t="s">
        <v>50</v>
      </c>
      <c r="AB310" s="0" t="s">
        <v>50</v>
      </c>
      <c r="AC310" s="0" t="s">
        <v>53</v>
      </c>
      <c r="AD310" s="0" t="s">
        <v>54</v>
      </c>
      <c r="AE310" s="0" t="s">
        <v>1844</v>
      </c>
      <c r="AF310" s="0" t="s">
        <v>1845</v>
      </c>
      <c r="AG310" s="0" t="s">
        <v>1846</v>
      </c>
      <c r="AH310" s="0" t="s">
        <v>50</v>
      </c>
      <c r="AI310" s="0" t="s">
        <v>50</v>
      </c>
      <c r="AJ310" s="0" t="s">
        <v>50</v>
      </c>
      <c r="AK310" s="0" t="s">
        <v>50</v>
      </c>
      <c r="AL310" s="0" t="s">
        <v>50</v>
      </c>
    </row>
    <row r="311" customFormat="false" ht="13.8" hidden="false" customHeight="false" outlineLevel="0" collapsed="false">
      <c r="B311" s="0" t="str">
        <f aca="false">HYPERLINK("https://genome.ucsc.edu/cgi-bin/hgTracks?db=hg19&amp;position=chr5%3A88025292%2D88025292", "chr5:88025292")</f>
        <v>chr5:88025292</v>
      </c>
      <c r="C311" s="0" t="s">
        <v>149</v>
      </c>
      <c r="D311" s="0" t="n">
        <v>88025292</v>
      </c>
      <c r="E311" s="0" t="n">
        <v>88025292</v>
      </c>
      <c r="F311" s="0" t="s">
        <v>40</v>
      </c>
      <c r="G311" s="0" t="s">
        <v>39</v>
      </c>
      <c r="H311" s="0" t="s">
        <v>1847</v>
      </c>
      <c r="I311" s="0" t="s">
        <v>776</v>
      </c>
      <c r="J311" s="0" t="s">
        <v>1848</v>
      </c>
      <c r="K311" s="0" t="s">
        <v>50</v>
      </c>
      <c r="L311" s="0" t="str">
        <f aca="false">HYPERLINK("https://www.ncbi.nlm.nih.gov/snp/rs3729667", "rs3729667")</f>
        <v>rs3729667</v>
      </c>
      <c r="M311" s="0" t="str">
        <f aca="false">HYPERLINK("https://www.genecards.org/Search/Keyword?queryString=%5Baliases%5D(%20MEF2C%20)&amp;keywords=MEF2C", "MEF2C")</f>
        <v>MEF2C</v>
      </c>
      <c r="N311" s="0" t="s">
        <v>80</v>
      </c>
      <c r="O311" s="0" t="s">
        <v>50</v>
      </c>
      <c r="P311" s="0" t="s">
        <v>50</v>
      </c>
      <c r="Q311" s="0" t="n">
        <v>0.012334</v>
      </c>
      <c r="R311" s="0" t="n">
        <v>0.0053</v>
      </c>
      <c r="S311" s="0" t="n">
        <v>0.0072</v>
      </c>
      <c r="T311" s="0" t="n">
        <v>-1</v>
      </c>
      <c r="U311" s="0" t="n">
        <v>0.0031</v>
      </c>
      <c r="V311" s="0" t="s">
        <v>50</v>
      </c>
      <c r="W311" s="0" t="s">
        <v>50</v>
      </c>
      <c r="X311" s="0" t="s">
        <v>49</v>
      </c>
      <c r="Y311" s="0" t="s">
        <v>82</v>
      </c>
      <c r="Z311" s="0" t="s">
        <v>50</v>
      </c>
      <c r="AA311" s="0" t="s">
        <v>50</v>
      </c>
      <c r="AB311" s="0" t="s">
        <v>50</v>
      </c>
      <c r="AC311" s="0" t="s">
        <v>53</v>
      </c>
      <c r="AD311" s="0" t="s">
        <v>54</v>
      </c>
      <c r="AE311" s="0" t="s">
        <v>1849</v>
      </c>
      <c r="AF311" s="0" t="s">
        <v>1850</v>
      </c>
      <c r="AG311" s="0" t="s">
        <v>1851</v>
      </c>
      <c r="AH311" s="0" t="s">
        <v>1852</v>
      </c>
      <c r="AI311" s="0" t="s">
        <v>50</v>
      </c>
      <c r="AJ311" s="0" t="s">
        <v>50</v>
      </c>
      <c r="AK311" s="0" t="s">
        <v>50</v>
      </c>
      <c r="AL311" s="0" t="s">
        <v>50</v>
      </c>
    </row>
    <row r="312" customFormat="false" ht="13.8" hidden="false" customHeight="false" outlineLevel="0" collapsed="false">
      <c r="B312" s="0" t="str">
        <f aca="false">HYPERLINK("https://genome.ucsc.edu/cgi-bin/hgTracks?db=hg19&amp;position=chr5%3A95757698%2D95757701", "chr5:95757698")</f>
        <v>chr5:95757698</v>
      </c>
      <c r="C312" s="0" t="s">
        <v>149</v>
      </c>
      <c r="D312" s="0" t="n">
        <v>95757698</v>
      </c>
      <c r="E312" s="0" t="n">
        <v>95757701</v>
      </c>
      <c r="F312" s="0" t="s">
        <v>1853</v>
      </c>
      <c r="G312" s="0" t="s">
        <v>308</v>
      </c>
      <c r="H312" s="0" t="s">
        <v>1854</v>
      </c>
      <c r="I312" s="0" t="s">
        <v>1248</v>
      </c>
      <c r="J312" s="0" t="s">
        <v>1855</v>
      </c>
      <c r="K312" s="0" t="s">
        <v>50</v>
      </c>
      <c r="L312" s="0" t="str">
        <f aca="false">HYPERLINK("https://www.ncbi.nlm.nih.gov/snp/rs748831406", "rs748831406")</f>
        <v>rs748831406</v>
      </c>
      <c r="M312" s="0" t="str">
        <f aca="false">HYPERLINK("https://www.genecards.org/Search/Keyword?queryString=%5Baliases%5D(%20LOC101929710%20)%20OR%20%5Baliases%5D(%20PCSK1%20)&amp;keywords=LOC101929710,PCSK1", "LOC101929710;PCSK1")</f>
        <v>LOC101929710;PCSK1</v>
      </c>
      <c r="N312" s="0" t="s">
        <v>347</v>
      </c>
      <c r="O312" s="0" t="s">
        <v>50</v>
      </c>
      <c r="P312" s="0" t="s">
        <v>50</v>
      </c>
      <c r="Q312" s="0" t="n">
        <v>0.0022768</v>
      </c>
      <c r="R312" s="0" t="n">
        <v>-1</v>
      </c>
      <c r="S312" s="0" t="n">
        <v>-1</v>
      </c>
      <c r="T312" s="0" t="n">
        <v>-1</v>
      </c>
      <c r="U312" s="0" t="n">
        <v>-1</v>
      </c>
      <c r="V312" s="0" t="s">
        <v>50</v>
      </c>
      <c r="W312" s="0" t="s">
        <v>50</v>
      </c>
      <c r="X312" s="0" t="s">
        <v>50</v>
      </c>
      <c r="Y312" s="0" t="s">
        <v>50</v>
      </c>
      <c r="Z312" s="0" t="s">
        <v>50</v>
      </c>
      <c r="AA312" s="0" t="s">
        <v>50</v>
      </c>
      <c r="AB312" s="0" t="s">
        <v>50</v>
      </c>
      <c r="AC312" s="0" t="s">
        <v>455</v>
      </c>
      <c r="AD312" s="0" t="s">
        <v>997</v>
      </c>
      <c r="AE312" s="0" t="s">
        <v>1856</v>
      </c>
      <c r="AF312" s="0" t="s">
        <v>1857</v>
      </c>
      <c r="AG312" s="0" t="s">
        <v>1858</v>
      </c>
      <c r="AH312" s="0" t="s">
        <v>1859</v>
      </c>
      <c r="AI312" s="0" t="s">
        <v>50</v>
      </c>
      <c r="AJ312" s="0" t="s">
        <v>50</v>
      </c>
      <c r="AK312" s="0" t="s">
        <v>50</v>
      </c>
      <c r="AL312" s="0" t="s">
        <v>50</v>
      </c>
    </row>
    <row r="313" customFormat="false" ht="13.8" hidden="false" customHeight="false" outlineLevel="0" collapsed="false">
      <c r="B313" s="0" t="str">
        <f aca="false">HYPERLINK("https://genome.ucsc.edu/cgi-bin/hgTracks?db=hg19&amp;position=chr5%3A95757701%2D95757701", "chr5:95757701")</f>
        <v>chr5:95757701</v>
      </c>
      <c r="C313" s="0" t="s">
        <v>149</v>
      </c>
      <c r="D313" s="0" t="n">
        <v>95757701</v>
      </c>
      <c r="E313" s="0" t="n">
        <v>95757701</v>
      </c>
      <c r="F313" s="0" t="s">
        <v>75</v>
      </c>
      <c r="G313" s="0" t="s">
        <v>308</v>
      </c>
      <c r="H313" s="0" t="s">
        <v>1854</v>
      </c>
      <c r="I313" s="0" t="s">
        <v>1248</v>
      </c>
      <c r="J313" s="0" t="s">
        <v>1855</v>
      </c>
      <c r="K313" s="0" t="s">
        <v>50</v>
      </c>
      <c r="L313" s="0" t="s">
        <v>50</v>
      </c>
      <c r="M313" s="0" t="str">
        <f aca="false">HYPERLINK("https://www.genecards.org/Search/Keyword?queryString=%5Baliases%5D(%20LOC101929710%20)%20OR%20%5Baliases%5D(%20PCSK1%20)&amp;keywords=LOC101929710,PCSK1", "LOC101929710;PCSK1")</f>
        <v>LOC101929710;PCSK1</v>
      </c>
      <c r="N313" s="0" t="s">
        <v>347</v>
      </c>
      <c r="O313" s="0" t="s">
        <v>50</v>
      </c>
      <c r="P313" s="0" t="s">
        <v>50</v>
      </c>
      <c r="Q313" s="0" t="n">
        <v>-1</v>
      </c>
      <c r="R313" s="0" t="n">
        <v>-1</v>
      </c>
      <c r="S313" s="0" t="n">
        <v>-1</v>
      </c>
      <c r="T313" s="0" t="n">
        <v>-1</v>
      </c>
      <c r="U313" s="0" t="n">
        <v>-1</v>
      </c>
      <c r="V313" s="0" t="s">
        <v>50</v>
      </c>
      <c r="W313" s="0" t="s">
        <v>50</v>
      </c>
      <c r="X313" s="0" t="s">
        <v>50</v>
      </c>
      <c r="Y313" s="0" t="s">
        <v>50</v>
      </c>
      <c r="Z313" s="0" t="s">
        <v>50</v>
      </c>
      <c r="AA313" s="0" t="s">
        <v>50</v>
      </c>
      <c r="AB313" s="0" t="s">
        <v>50</v>
      </c>
      <c r="AC313" s="0" t="s">
        <v>455</v>
      </c>
      <c r="AD313" s="0" t="s">
        <v>997</v>
      </c>
      <c r="AE313" s="0" t="s">
        <v>1856</v>
      </c>
      <c r="AF313" s="0" t="s">
        <v>1857</v>
      </c>
      <c r="AG313" s="0" t="s">
        <v>1858</v>
      </c>
      <c r="AH313" s="0" t="s">
        <v>1859</v>
      </c>
      <c r="AI313" s="0" t="s">
        <v>50</v>
      </c>
      <c r="AJ313" s="0" t="s">
        <v>50</v>
      </c>
      <c r="AK313" s="0" t="s">
        <v>50</v>
      </c>
      <c r="AL313" s="0" t="s">
        <v>50</v>
      </c>
    </row>
    <row r="314" customFormat="false" ht="13.8" hidden="false" customHeight="false" outlineLevel="0" collapsed="false">
      <c r="B314" s="0" t="str">
        <f aca="false">HYPERLINK("https://genome.ucsc.edu/cgi-bin/hgTracks?db=hg19&amp;position=chr5%3A118183730%2D118183730", "chr5:118183730")</f>
        <v>chr5:118183730</v>
      </c>
      <c r="C314" s="0" t="s">
        <v>149</v>
      </c>
      <c r="D314" s="0" t="n">
        <v>118183730</v>
      </c>
      <c r="E314" s="0" t="n">
        <v>118183730</v>
      </c>
      <c r="F314" s="0" t="s">
        <v>74</v>
      </c>
      <c r="G314" s="0" t="s">
        <v>39</v>
      </c>
      <c r="H314" s="0" t="s">
        <v>1860</v>
      </c>
      <c r="I314" s="0" t="s">
        <v>128</v>
      </c>
      <c r="J314" s="0" t="s">
        <v>1861</v>
      </c>
      <c r="K314" s="0" t="s">
        <v>50</v>
      </c>
      <c r="L314" s="0" t="str">
        <f aca="false">HYPERLINK("https://www.ncbi.nlm.nih.gov/snp/rs556264482", "rs556264482")</f>
        <v>rs556264482</v>
      </c>
      <c r="M314" s="0" t="str">
        <f aca="false">HYPERLINK("https://www.genecards.org/Search/Keyword?queryString=%5Baliases%5D(%20DTWD2%20)&amp;keywords=DTWD2", "DTWD2")</f>
        <v>DTWD2</v>
      </c>
      <c r="N314" s="0" t="s">
        <v>80</v>
      </c>
      <c r="O314" s="0" t="s">
        <v>50</v>
      </c>
      <c r="P314" s="0" t="s">
        <v>50</v>
      </c>
      <c r="Q314" s="0" t="n">
        <v>0.0012</v>
      </c>
      <c r="R314" s="0" t="n">
        <v>0.0012</v>
      </c>
      <c r="S314" s="0" t="n">
        <v>0.0018</v>
      </c>
      <c r="T314" s="0" t="n">
        <v>-1</v>
      </c>
      <c r="U314" s="0" t="n">
        <v>0.0013</v>
      </c>
      <c r="V314" s="0" t="s">
        <v>50</v>
      </c>
      <c r="W314" s="0" t="s">
        <v>50</v>
      </c>
      <c r="X314" s="0" t="s">
        <v>81</v>
      </c>
      <c r="Y314" s="0" t="s">
        <v>82</v>
      </c>
      <c r="Z314" s="0" t="s">
        <v>50</v>
      </c>
      <c r="AA314" s="0" t="s">
        <v>50</v>
      </c>
      <c r="AB314" s="0" t="s">
        <v>50</v>
      </c>
      <c r="AC314" s="0" t="s">
        <v>53</v>
      </c>
      <c r="AD314" s="0" t="s">
        <v>54</v>
      </c>
      <c r="AE314" s="0" t="s">
        <v>1862</v>
      </c>
      <c r="AF314" s="0" t="s">
        <v>1863</v>
      </c>
      <c r="AG314" s="0" t="s">
        <v>50</v>
      </c>
      <c r="AH314" s="0" t="s">
        <v>50</v>
      </c>
      <c r="AI314" s="0" t="s">
        <v>50</v>
      </c>
      <c r="AJ314" s="0" t="s">
        <v>50</v>
      </c>
      <c r="AK314" s="0" t="s">
        <v>50</v>
      </c>
      <c r="AL314" s="0" t="s">
        <v>50</v>
      </c>
    </row>
    <row r="315" customFormat="false" ht="13.8" hidden="false" customHeight="false" outlineLevel="0" collapsed="false">
      <c r="B315" s="0" t="str">
        <f aca="false">HYPERLINK("https://genome.ucsc.edu/cgi-bin/hgTracks?db=hg19&amp;position=chr5%3A131310677%2D131310677", "chr5:131310677")</f>
        <v>chr5:131310677</v>
      </c>
      <c r="C315" s="0" t="s">
        <v>149</v>
      </c>
      <c r="D315" s="0" t="n">
        <v>131310677</v>
      </c>
      <c r="E315" s="0" t="n">
        <v>131310677</v>
      </c>
      <c r="F315" s="0" t="s">
        <v>74</v>
      </c>
      <c r="G315" s="0" t="s">
        <v>40</v>
      </c>
      <c r="H315" s="0" t="s">
        <v>1864</v>
      </c>
      <c r="I315" s="0" t="s">
        <v>321</v>
      </c>
      <c r="J315" s="0" t="s">
        <v>1865</v>
      </c>
      <c r="K315" s="0" t="s">
        <v>50</v>
      </c>
      <c r="L315" s="0" t="str">
        <f aca="false">HYPERLINK("https://www.ncbi.nlm.nih.gov/snp/rs17211900", "rs17211900")</f>
        <v>rs17211900</v>
      </c>
      <c r="M315" s="0" t="str">
        <f aca="false">HYPERLINK("https://www.genecards.org/Search/Keyword?queryString=%5Baliases%5D(%20ACSL6%20)&amp;keywords=ACSL6", "ACSL6")</f>
        <v>ACSL6</v>
      </c>
      <c r="N315" s="0" t="s">
        <v>80</v>
      </c>
      <c r="O315" s="0" t="s">
        <v>50</v>
      </c>
      <c r="P315" s="0" t="s">
        <v>50</v>
      </c>
      <c r="Q315" s="0" t="n">
        <v>0.0175</v>
      </c>
      <c r="R315" s="0" t="n">
        <v>0.0159</v>
      </c>
      <c r="S315" s="0" t="n">
        <v>0.0179</v>
      </c>
      <c r="T315" s="0" t="n">
        <v>-1</v>
      </c>
      <c r="U315" s="0" t="n">
        <v>0.0134</v>
      </c>
      <c r="V315" s="0" t="s">
        <v>50</v>
      </c>
      <c r="W315" s="0" t="s">
        <v>50</v>
      </c>
      <c r="X315" s="0" t="s">
        <v>49</v>
      </c>
      <c r="Y315" s="0" t="s">
        <v>82</v>
      </c>
      <c r="Z315" s="0" t="s">
        <v>50</v>
      </c>
      <c r="AA315" s="0" t="s">
        <v>50</v>
      </c>
      <c r="AB315" s="0" t="s">
        <v>50</v>
      </c>
      <c r="AC315" s="0" t="s">
        <v>53</v>
      </c>
      <c r="AD315" s="0" t="s">
        <v>54</v>
      </c>
      <c r="AE315" s="0" t="s">
        <v>1866</v>
      </c>
      <c r="AF315" s="0" t="s">
        <v>1867</v>
      </c>
      <c r="AG315" s="0" t="s">
        <v>1868</v>
      </c>
      <c r="AH315" s="0" t="s">
        <v>1869</v>
      </c>
      <c r="AI315" s="0" t="s">
        <v>50</v>
      </c>
      <c r="AJ315" s="0" t="s">
        <v>50</v>
      </c>
      <c r="AK315" s="0" t="s">
        <v>50</v>
      </c>
      <c r="AL315" s="0" t="s">
        <v>50</v>
      </c>
    </row>
    <row r="316" customFormat="false" ht="13.8" hidden="false" customHeight="false" outlineLevel="0" collapsed="false">
      <c r="B316" s="0" t="str">
        <f aca="false">HYPERLINK("https://genome.ucsc.edu/cgi-bin/hgTracks?db=hg19&amp;position=chr5%3A149784173%2D149784173", "chr5:149784173")</f>
        <v>chr5:149784173</v>
      </c>
      <c r="C316" s="0" t="s">
        <v>149</v>
      </c>
      <c r="D316" s="0" t="n">
        <v>149784173</v>
      </c>
      <c r="E316" s="0" t="n">
        <v>149784173</v>
      </c>
      <c r="F316" s="0" t="s">
        <v>74</v>
      </c>
      <c r="G316" s="0" t="s">
        <v>75</v>
      </c>
      <c r="H316" s="0" t="s">
        <v>1870</v>
      </c>
      <c r="I316" s="0" t="s">
        <v>590</v>
      </c>
      <c r="J316" s="0" t="s">
        <v>1871</v>
      </c>
      <c r="K316" s="0" t="s">
        <v>50</v>
      </c>
      <c r="L316" s="0" t="s">
        <v>50</v>
      </c>
      <c r="M316" s="0" t="str">
        <f aca="false">HYPERLINK("https://www.genecards.org/Search/Keyword?queryString=%5Baliases%5D(%20CD74%20)&amp;keywords=CD74", "CD74")</f>
        <v>CD74</v>
      </c>
      <c r="N316" s="0" t="s">
        <v>80</v>
      </c>
      <c r="O316" s="0" t="s">
        <v>50</v>
      </c>
      <c r="P316" s="0" t="s">
        <v>50</v>
      </c>
      <c r="Q316" s="0" t="n">
        <v>-1</v>
      </c>
      <c r="R316" s="0" t="n">
        <v>-1</v>
      </c>
      <c r="S316" s="0" t="n">
        <v>-1</v>
      </c>
      <c r="T316" s="0" t="n">
        <v>-1</v>
      </c>
      <c r="U316" s="0" t="n">
        <v>-1</v>
      </c>
      <c r="V316" s="0" t="s">
        <v>50</v>
      </c>
      <c r="W316" s="0" t="s">
        <v>50</v>
      </c>
      <c r="X316" s="0" t="s">
        <v>49</v>
      </c>
      <c r="Y316" s="0" t="s">
        <v>82</v>
      </c>
      <c r="Z316" s="0" t="s">
        <v>50</v>
      </c>
      <c r="AA316" s="0" t="s">
        <v>50</v>
      </c>
      <c r="AB316" s="0" t="s">
        <v>50</v>
      </c>
      <c r="AC316" s="0" t="s">
        <v>53</v>
      </c>
      <c r="AD316" s="0" t="s">
        <v>54</v>
      </c>
      <c r="AE316" s="0" t="s">
        <v>1872</v>
      </c>
      <c r="AF316" s="0" t="s">
        <v>1873</v>
      </c>
      <c r="AG316" s="0" t="s">
        <v>1874</v>
      </c>
      <c r="AH316" s="0" t="s">
        <v>1875</v>
      </c>
      <c r="AI316" s="0" t="s">
        <v>50</v>
      </c>
      <c r="AJ316" s="0" t="s">
        <v>50</v>
      </c>
      <c r="AK316" s="0" t="s">
        <v>50</v>
      </c>
      <c r="AL316" s="0" t="s">
        <v>50</v>
      </c>
    </row>
    <row r="317" customFormat="false" ht="13.8" hidden="false" customHeight="false" outlineLevel="0" collapsed="false">
      <c r="B317" s="0" t="str">
        <f aca="false">HYPERLINK("https://genome.ucsc.edu/cgi-bin/hgTracks?db=hg19&amp;position=chr5%3A176958524%2D176958524", "chr5:176958524")</f>
        <v>chr5:176958524</v>
      </c>
      <c r="C317" s="0" t="s">
        <v>149</v>
      </c>
      <c r="D317" s="0" t="n">
        <v>176958524</v>
      </c>
      <c r="E317" s="0" t="n">
        <v>176958524</v>
      </c>
      <c r="F317" s="0" t="s">
        <v>40</v>
      </c>
      <c r="G317" s="0" t="s">
        <v>74</v>
      </c>
      <c r="H317" s="0" t="s">
        <v>1876</v>
      </c>
      <c r="I317" s="0" t="s">
        <v>662</v>
      </c>
      <c r="J317" s="0" t="s">
        <v>663</v>
      </c>
      <c r="K317" s="0" t="s">
        <v>50</v>
      </c>
      <c r="L317" s="0" t="s">
        <v>50</v>
      </c>
      <c r="M317" s="0" t="str">
        <f aca="false">HYPERLINK("https://www.genecards.org/Search/Keyword?queryString=%5Baliases%5D(%20FAM193B%20)&amp;keywords=FAM193B", "FAM193B")</f>
        <v>FAM193B</v>
      </c>
      <c r="N317" s="0" t="s">
        <v>64</v>
      </c>
      <c r="O317" s="0" t="s">
        <v>50</v>
      </c>
      <c r="P317" s="0" t="s">
        <v>1877</v>
      </c>
      <c r="Q317" s="0" t="n">
        <v>0.0005</v>
      </c>
      <c r="R317" s="0" t="n">
        <v>-1</v>
      </c>
      <c r="S317" s="0" t="n">
        <v>-1</v>
      </c>
      <c r="T317" s="0" t="n">
        <v>-1</v>
      </c>
      <c r="U317" s="0" t="n">
        <v>-1</v>
      </c>
      <c r="V317" s="0" t="s">
        <v>50</v>
      </c>
      <c r="W317" s="0" t="s">
        <v>49</v>
      </c>
      <c r="X317" s="0" t="s">
        <v>348</v>
      </c>
      <c r="Y317" s="0" t="s">
        <v>67</v>
      </c>
      <c r="Z317" s="0" t="s">
        <v>50</v>
      </c>
      <c r="AA317" s="0" t="s">
        <v>50</v>
      </c>
      <c r="AB317" s="0" t="s">
        <v>50</v>
      </c>
      <c r="AC317" s="0" t="s">
        <v>53</v>
      </c>
      <c r="AD317" s="0" t="s">
        <v>54</v>
      </c>
      <c r="AE317" s="0" t="s">
        <v>1878</v>
      </c>
      <c r="AF317" s="0" t="s">
        <v>1879</v>
      </c>
      <c r="AG317" s="0" t="s">
        <v>50</v>
      </c>
      <c r="AH317" s="0" t="s">
        <v>50</v>
      </c>
      <c r="AI317" s="0" t="s">
        <v>50</v>
      </c>
      <c r="AJ317" s="0" t="s">
        <v>50</v>
      </c>
      <c r="AK317" s="0" t="s">
        <v>50</v>
      </c>
      <c r="AL317" s="0" t="s">
        <v>50</v>
      </c>
    </row>
    <row r="318" customFormat="false" ht="13.8" hidden="false" customHeight="false" outlineLevel="0" collapsed="false">
      <c r="B318" s="0" t="str">
        <f aca="false">HYPERLINK("https://genome.ucsc.edu/cgi-bin/hgTracks?db=hg19&amp;position=chr6%3A10702909%2D10702909", "chr6:10702909")</f>
        <v>chr6:10702909</v>
      </c>
      <c r="C318" s="0" t="s">
        <v>210</v>
      </c>
      <c r="D318" s="0" t="n">
        <v>10702909</v>
      </c>
      <c r="E318" s="0" t="n">
        <v>10702909</v>
      </c>
      <c r="F318" s="0" t="s">
        <v>74</v>
      </c>
      <c r="G318" s="0" t="s">
        <v>75</v>
      </c>
      <c r="H318" s="0" t="s">
        <v>1616</v>
      </c>
      <c r="I318" s="0" t="s">
        <v>443</v>
      </c>
      <c r="J318" s="0" t="s">
        <v>1880</v>
      </c>
      <c r="K318" s="0" t="s">
        <v>50</v>
      </c>
      <c r="L318" s="0" t="str">
        <f aca="false">HYPERLINK("https://www.ncbi.nlm.nih.gov/snp/rs191471387", "rs191471387")</f>
        <v>rs191471387</v>
      </c>
      <c r="M318" s="0" t="str">
        <f aca="false">HYPERLINK("https://www.genecards.org/Search/Keyword?queryString=%5Baliases%5D(%20PAK1IP1%20)&amp;keywords=PAK1IP1", "PAK1IP1")</f>
        <v>PAK1IP1</v>
      </c>
      <c r="N318" s="0" t="s">
        <v>80</v>
      </c>
      <c r="O318" s="0" t="s">
        <v>50</v>
      </c>
      <c r="P318" s="0" t="s">
        <v>50</v>
      </c>
      <c r="Q318" s="0" t="n">
        <v>0.006568</v>
      </c>
      <c r="R318" s="0" t="n">
        <v>0.0032</v>
      </c>
      <c r="S318" s="0" t="n">
        <v>0.0039</v>
      </c>
      <c r="T318" s="0" t="n">
        <v>-1</v>
      </c>
      <c r="U318" s="0" t="n">
        <v>0.0029</v>
      </c>
      <c r="V318" s="0" t="s">
        <v>50</v>
      </c>
      <c r="W318" s="0" t="s">
        <v>50</v>
      </c>
      <c r="X318" s="0" t="s">
        <v>49</v>
      </c>
      <c r="Y318" s="0" t="s">
        <v>82</v>
      </c>
      <c r="Z318" s="0" t="s">
        <v>50</v>
      </c>
      <c r="AA318" s="0" t="s">
        <v>50</v>
      </c>
      <c r="AB318" s="0" t="s">
        <v>50</v>
      </c>
      <c r="AC318" s="0" t="s">
        <v>53</v>
      </c>
      <c r="AD318" s="0" t="s">
        <v>54</v>
      </c>
      <c r="AE318" s="0" t="s">
        <v>1881</v>
      </c>
      <c r="AF318" s="0" t="s">
        <v>1882</v>
      </c>
      <c r="AG318" s="0" t="s">
        <v>1883</v>
      </c>
      <c r="AH318" s="0" t="s">
        <v>50</v>
      </c>
      <c r="AI318" s="0" t="s">
        <v>50</v>
      </c>
      <c r="AJ318" s="0" t="s">
        <v>50</v>
      </c>
      <c r="AK318" s="0" t="s">
        <v>50</v>
      </c>
      <c r="AL318" s="0" t="s">
        <v>50</v>
      </c>
    </row>
    <row r="319" customFormat="false" ht="13.8" hidden="false" customHeight="false" outlineLevel="0" collapsed="false">
      <c r="B319" s="0" t="str">
        <f aca="false">HYPERLINK("https://genome.ucsc.edu/cgi-bin/hgTracks?db=hg19&amp;position=chr6%3A17633077%2D17633077", "chr6:17633077")</f>
        <v>chr6:17633077</v>
      </c>
      <c r="C319" s="0" t="s">
        <v>210</v>
      </c>
      <c r="D319" s="0" t="n">
        <v>17633077</v>
      </c>
      <c r="E319" s="0" t="n">
        <v>17633077</v>
      </c>
      <c r="F319" s="0" t="s">
        <v>308</v>
      </c>
      <c r="G319" s="0" t="s">
        <v>1179</v>
      </c>
      <c r="H319" s="0" t="s">
        <v>1884</v>
      </c>
      <c r="I319" s="0" t="s">
        <v>643</v>
      </c>
      <c r="J319" s="0" t="s">
        <v>1885</v>
      </c>
      <c r="K319" s="0" t="s">
        <v>50</v>
      </c>
      <c r="L319" s="0" t="s">
        <v>50</v>
      </c>
      <c r="M319" s="0" t="str">
        <f aca="false">HYPERLINK("https://www.genecards.org/Search/Keyword?queryString=%5Baliases%5D(%20NUP153%20)&amp;keywords=NUP153", "NUP153")</f>
        <v>NUP153</v>
      </c>
      <c r="N319" s="0" t="s">
        <v>64</v>
      </c>
      <c r="O319" s="0" t="s">
        <v>50</v>
      </c>
      <c r="P319" s="0" t="s">
        <v>1886</v>
      </c>
      <c r="Q319" s="0" t="n">
        <v>0.0251</v>
      </c>
      <c r="R319" s="0" t="n">
        <v>0.025</v>
      </c>
      <c r="S319" s="0" t="n">
        <v>0.0277</v>
      </c>
      <c r="T319" s="0" t="n">
        <v>-1</v>
      </c>
      <c r="U319" s="0" t="n">
        <v>0.0263</v>
      </c>
      <c r="V319" s="0" t="s">
        <v>50</v>
      </c>
      <c r="W319" s="0" t="s">
        <v>50</v>
      </c>
      <c r="X319" s="0" t="s">
        <v>50</v>
      </c>
      <c r="Y319" s="0" t="s">
        <v>50</v>
      </c>
      <c r="Z319" s="0" t="s">
        <v>50</v>
      </c>
      <c r="AA319" s="0" t="s">
        <v>50</v>
      </c>
      <c r="AB319" s="0" t="s">
        <v>50</v>
      </c>
      <c r="AC319" s="0" t="s">
        <v>455</v>
      </c>
      <c r="AD319" s="0" t="s">
        <v>54</v>
      </c>
      <c r="AE319" s="0" t="s">
        <v>1887</v>
      </c>
      <c r="AF319" s="0" t="s">
        <v>1888</v>
      </c>
      <c r="AG319" s="0" t="s">
        <v>1889</v>
      </c>
      <c r="AH319" s="0" t="s">
        <v>50</v>
      </c>
      <c r="AI319" s="0" t="s">
        <v>50</v>
      </c>
      <c r="AJ319" s="0" t="s">
        <v>50</v>
      </c>
      <c r="AK319" s="0" t="s">
        <v>50</v>
      </c>
      <c r="AL319" s="0" t="s">
        <v>50</v>
      </c>
    </row>
    <row r="320" customFormat="false" ht="13.8" hidden="false" customHeight="false" outlineLevel="0" collapsed="false">
      <c r="B320" s="0" t="str">
        <f aca="false">HYPERLINK("https://genome.ucsc.edu/cgi-bin/hgTracks?db=hg19&amp;position=chr6%3A24599673%2D24599673", "chr6:24599673")</f>
        <v>chr6:24599673</v>
      </c>
      <c r="C320" s="0" t="s">
        <v>210</v>
      </c>
      <c r="D320" s="0" t="n">
        <v>24599673</v>
      </c>
      <c r="E320" s="0" t="n">
        <v>24599673</v>
      </c>
      <c r="F320" s="0" t="s">
        <v>39</v>
      </c>
      <c r="G320" s="0" t="s">
        <v>75</v>
      </c>
      <c r="H320" s="0" t="s">
        <v>1890</v>
      </c>
      <c r="I320" s="0" t="s">
        <v>1476</v>
      </c>
      <c r="J320" s="0" t="s">
        <v>1723</v>
      </c>
      <c r="K320" s="0" t="s">
        <v>50</v>
      </c>
      <c r="L320" s="0" t="str">
        <f aca="false">HYPERLINK("https://www.ncbi.nlm.nih.gov/snp/rs146651196", "rs146651196")</f>
        <v>rs146651196</v>
      </c>
      <c r="M320" s="0" t="str">
        <f aca="false">HYPERLINK("https://www.genecards.org/Search/Keyword?queryString=%5Baliases%5D(%20KIAA0319%20)&amp;keywords=KIAA0319", "KIAA0319")</f>
        <v>KIAA0319</v>
      </c>
      <c r="N320" s="0" t="s">
        <v>390</v>
      </c>
      <c r="O320" s="0" t="s">
        <v>50</v>
      </c>
      <c r="P320" s="0" t="s">
        <v>50</v>
      </c>
      <c r="Q320" s="0" t="n">
        <v>0.0117</v>
      </c>
      <c r="R320" s="0" t="n">
        <v>0.012</v>
      </c>
      <c r="S320" s="0" t="n">
        <v>0.0113</v>
      </c>
      <c r="T320" s="0" t="n">
        <v>-1</v>
      </c>
      <c r="U320" s="0" t="n">
        <v>0.0121</v>
      </c>
      <c r="V320" s="0" t="s">
        <v>50</v>
      </c>
      <c r="W320" s="0" t="s">
        <v>50</v>
      </c>
      <c r="X320" s="0" t="s">
        <v>50</v>
      </c>
      <c r="Y320" s="0" t="s">
        <v>50</v>
      </c>
      <c r="Z320" s="0" t="s">
        <v>50</v>
      </c>
      <c r="AA320" s="0" t="s">
        <v>50</v>
      </c>
      <c r="AB320" s="0" t="s">
        <v>50</v>
      </c>
      <c r="AC320" s="0" t="s">
        <v>53</v>
      </c>
      <c r="AD320" s="0" t="s">
        <v>54</v>
      </c>
      <c r="AE320" s="0" t="s">
        <v>1891</v>
      </c>
      <c r="AF320" s="0" t="s">
        <v>1892</v>
      </c>
      <c r="AG320" s="0" t="s">
        <v>1893</v>
      </c>
      <c r="AH320" s="0" t="s">
        <v>1894</v>
      </c>
      <c r="AI320" s="0" t="s">
        <v>50</v>
      </c>
      <c r="AJ320" s="0" t="s">
        <v>50</v>
      </c>
      <c r="AK320" s="0" t="s">
        <v>50</v>
      </c>
      <c r="AL320" s="0" t="s">
        <v>50</v>
      </c>
    </row>
    <row r="321" customFormat="false" ht="13.8" hidden="false" customHeight="false" outlineLevel="0" collapsed="false">
      <c r="B321" s="0" t="str">
        <f aca="false">HYPERLINK("https://genome.ucsc.edu/cgi-bin/hgTracks?db=hg19&amp;position=chr6%3A25024179%2D25024179", "chr6:25024179")</f>
        <v>chr6:25024179</v>
      </c>
      <c r="C321" s="0" t="s">
        <v>210</v>
      </c>
      <c r="D321" s="0" t="n">
        <v>25024179</v>
      </c>
      <c r="E321" s="0" t="n">
        <v>25024179</v>
      </c>
      <c r="F321" s="0" t="s">
        <v>40</v>
      </c>
      <c r="G321" s="0" t="s">
        <v>74</v>
      </c>
      <c r="H321" s="0" t="s">
        <v>1895</v>
      </c>
      <c r="I321" s="0" t="s">
        <v>128</v>
      </c>
      <c r="J321" s="0" t="s">
        <v>1896</v>
      </c>
      <c r="K321" s="0" t="s">
        <v>50</v>
      </c>
      <c r="L321" s="0" t="str">
        <f aca="false">HYPERLINK("https://www.ncbi.nlm.nih.gov/snp/rs115285934", "rs115285934")</f>
        <v>rs115285934</v>
      </c>
      <c r="M321" s="0" t="str">
        <f aca="false">HYPERLINK("https://www.genecards.org/Search/Keyword?queryString=%5Baliases%5D(%20FAM65B%20)%20OR%20%5Baliases%5D(%20RIPOR2%20)&amp;keywords=FAM65B,RIPOR2", "FAM65B;RIPOR2")</f>
        <v>FAM65B;RIPOR2</v>
      </c>
      <c r="N321" s="0" t="s">
        <v>390</v>
      </c>
      <c r="O321" s="0" t="s">
        <v>50</v>
      </c>
      <c r="P321" s="0" t="s">
        <v>50</v>
      </c>
      <c r="Q321" s="0" t="n">
        <v>0.0122</v>
      </c>
      <c r="R321" s="0" t="n">
        <v>0.0144</v>
      </c>
      <c r="S321" s="0" t="n">
        <v>0.0121</v>
      </c>
      <c r="T321" s="0" t="n">
        <v>-1</v>
      </c>
      <c r="U321" s="0" t="n">
        <v>0.0205</v>
      </c>
      <c r="V321" s="0" t="s">
        <v>50</v>
      </c>
      <c r="W321" s="0" t="s">
        <v>50</v>
      </c>
      <c r="X321" s="0" t="s">
        <v>50</v>
      </c>
      <c r="Y321" s="0" t="s">
        <v>50</v>
      </c>
      <c r="Z321" s="0" t="s">
        <v>50</v>
      </c>
      <c r="AA321" s="0" t="s">
        <v>50</v>
      </c>
      <c r="AB321" s="0" t="s">
        <v>50</v>
      </c>
      <c r="AC321" s="0" t="s">
        <v>53</v>
      </c>
      <c r="AD321" s="0" t="s">
        <v>157</v>
      </c>
      <c r="AE321" s="0" t="s">
        <v>1897</v>
      </c>
      <c r="AF321" s="0" t="s">
        <v>1898</v>
      </c>
      <c r="AG321" s="0" t="s">
        <v>1899</v>
      </c>
      <c r="AH321" s="0" t="s">
        <v>1900</v>
      </c>
      <c r="AI321" s="0" t="s">
        <v>50</v>
      </c>
      <c r="AJ321" s="0" t="s">
        <v>50</v>
      </c>
      <c r="AK321" s="0" t="s">
        <v>50</v>
      </c>
      <c r="AL321" s="0" t="s">
        <v>50</v>
      </c>
    </row>
    <row r="322" s="2" customFormat="true" ht="13.8" hidden="false" customHeight="false" outlineLevel="0" collapsed="false">
      <c r="B322" s="2" t="str">
        <f aca="false">HYPERLINK("https://genome.ucsc.edu/cgi-bin/hgTracks?db=hg19&amp;position=chr6%3A32549722%2D32549722", "chr6:32549722")</f>
        <v>chr6:32549722</v>
      </c>
      <c r="C322" s="2" t="s">
        <v>210</v>
      </c>
      <c r="D322" s="2" t="n">
        <v>32549722</v>
      </c>
      <c r="E322" s="2" t="n">
        <v>32549722</v>
      </c>
      <c r="F322" s="2" t="s">
        <v>74</v>
      </c>
      <c r="G322" s="2" t="s">
        <v>75</v>
      </c>
      <c r="H322" s="2" t="s">
        <v>1901</v>
      </c>
      <c r="I322" s="2" t="s">
        <v>1902</v>
      </c>
      <c r="J322" s="2" t="s">
        <v>1903</v>
      </c>
      <c r="K322" s="2" t="s">
        <v>50</v>
      </c>
      <c r="L322" s="2" t="str">
        <f aca="false">HYPERLINK("https://www.ncbi.nlm.nih.gov/snp/rs28732340", "rs28732340")</f>
        <v>rs28732340</v>
      </c>
      <c r="M322" s="2" t="str">
        <f aca="false">HYPERLINK("https://www.genecards.org/Search/Keyword?queryString=%5Baliases%5D(%20HLA-DRB1%20)%20OR%20%5Baliases%5D(%20HLA-DRB6%20)&amp;keywords=HLA-DRB1,HLA-DRB6", "HLA-DRB1;HLA-DRB6")</f>
        <v>HLA-DRB1;HLA-DRB6</v>
      </c>
      <c r="N322" s="2" t="s">
        <v>347</v>
      </c>
      <c r="O322" s="2" t="s">
        <v>50</v>
      </c>
      <c r="P322" s="2" t="s">
        <v>50</v>
      </c>
      <c r="Q322" s="2" t="n">
        <v>0.025168</v>
      </c>
      <c r="R322" s="2" t="n">
        <v>-1</v>
      </c>
      <c r="S322" s="2" t="n">
        <v>-1</v>
      </c>
      <c r="T322" s="2" t="n">
        <v>-1</v>
      </c>
      <c r="U322" s="2" t="n">
        <v>-1</v>
      </c>
      <c r="V322" s="2" t="s">
        <v>50</v>
      </c>
      <c r="W322" s="2" t="s">
        <v>50</v>
      </c>
      <c r="X322" s="2" t="s">
        <v>81</v>
      </c>
      <c r="Y322" s="2" t="s">
        <v>82</v>
      </c>
      <c r="Z322" s="2" t="s">
        <v>50</v>
      </c>
      <c r="AA322" s="2" t="s">
        <v>50</v>
      </c>
      <c r="AB322" s="2" t="s">
        <v>50</v>
      </c>
      <c r="AC322" s="2" t="s">
        <v>53</v>
      </c>
      <c r="AD322" s="2" t="s">
        <v>1041</v>
      </c>
      <c r="AE322" s="2" t="s">
        <v>1904</v>
      </c>
      <c r="AF322" s="2" t="s">
        <v>1905</v>
      </c>
      <c r="AG322" s="2" t="s">
        <v>1906</v>
      </c>
      <c r="AH322" s="2" t="s">
        <v>50</v>
      </c>
      <c r="AI322" s="2" t="s">
        <v>50</v>
      </c>
      <c r="AJ322" s="2" t="s">
        <v>50</v>
      </c>
      <c r="AK322" s="2" t="s">
        <v>1907</v>
      </c>
      <c r="AL322" s="2" t="s">
        <v>50</v>
      </c>
    </row>
    <row r="323" s="2" customFormat="true" ht="13.8" hidden="false" customHeight="false" outlineLevel="0" collapsed="false">
      <c r="B323" s="2" t="str">
        <f aca="false">HYPERLINK("https://genome.ucsc.edu/cgi-bin/hgTracks?db=hg19&amp;position=chr6%3A32552130%2D32552130", "chr6:32552130")</f>
        <v>chr6:32552130</v>
      </c>
      <c r="C323" s="2" t="s">
        <v>210</v>
      </c>
      <c r="D323" s="2" t="n">
        <v>32552130</v>
      </c>
      <c r="E323" s="2" t="n">
        <v>32552130</v>
      </c>
      <c r="F323" s="2" t="s">
        <v>39</v>
      </c>
      <c r="G323" s="2" t="s">
        <v>1562</v>
      </c>
      <c r="H323" s="2" t="s">
        <v>1908</v>
      </c>
      <c r="I323" s="2" t="s">
        <v>128</v>
      </c>
      <c r="J323" s="2" t="s">
        <v>1909</v>
      </c>
      <c r="K323" s="2" t="s">
        <v>50</v>
      </c>
      <c r="L323" s="2" t="s">
        <v>50</v>
      </c>
      <c r="M323" s="2" t="str">
        <f aca="false">HYPERLINK("https://www.genecards.org/Search/Keyword?queryString=%5Baliases%5D(%20HLA-DRB1%20)&amp;keywords=HLA-DRB1", "HLA-DRB1")</f>
        <v>HLA-DRB1</v>
      </c>
      <c r="N323" s="2" t="s">
        <v>45</v>
      </c>
      <c r="O323" s="2" t="s">
        <v>50</v>
      </c>
      <c r="P323" s="2" t="s">
        <v>1910</v>
      </c>
      <c r="Q323" s="2" t="n">
        <v>-1</v>
      </c>
      <c r="R323" s="2" t="n">
        <v>-1</v>
      </c>
      <c r="S323" s="2" t="n">
        <v>-1</v>
      </c>
      <c r="T323" s="2" t="n">
        <v>-1</v>
      </c>
      <c r="U323" s="2" t="n">
        <v>-1</v>
      </c>
      <c r="V323" s="2" t="s">
        <v>50</v>
      </c>
      <c r="W323" s="2" t="s">
        <v>50</v>
      </c>
      <c r="X323" s="2" t="s">
        <v>50</v>
      </c>
      <c r="Y323" s="2" t="s">
        <v>50</v>
      </c>
      <c r="Z323" s="2" t="s">
        <v>50</v>
      </c>
      <c r="AA323" s="2" t="s">
        <v>50</v>
      </c>
      <c r="AB323" s="2" t="s">
        <v>50</v>
      </c>
      <c r="AC323" s="2" t="s">
        <v>455</v>
      </c>
      <c r="AD323" s="2" t="s">
        <v>226</v>
      </c>
      <c r="AE323" s="2" t="s">
        <v>1904</v>
      </c>
      <c r="AF323" s="2" t="s">
        <v>1911</v>
      </c>
      <c r="AG323" s="2" t="s">
        <v>1906</v>
      </c>
      <c r="AH323" s="2" t="s">
        <v>50</v>
      </c>
      <c r="AI323" s="2" t="s">
        <v>50</v>
      </c>
      <c r="AJ323" s="2" t="s">
        <v>50</v>
      </c>
      <c r="AK323" s="2" t="s">
        <v>1907</v>
      </c>
      <c r="AL323" s="2" t="s">
        <v>50</v>
      </c>
    </row>
    <row r="324" customFormat="false" ht="13.8" hidden="false" customHeight="false" outlineLevel="0" collapsed="false">
      <c r="B324" s="0" t="str">
        <f aca="false">HYPERLINK("https://genome.ucsc.edu/cgi-bin/hgTracks?db=hg19&amp;position=chr6%3A42931205%2D42931205", "chr6:42931205")</f>
        <v>chr6:42931205</v>
      </c>
      <c r="C324" s="0" t="s">
        <v>210</v>
      </c>
      <c r="D324" s="0" t="n">
        <v>42931205</v>
      </c>
      <c r="E324" s="0" t="n">
        <v>42931205</v>
      </c>
      <c r="F324" s="0" t="s">
        <v>74</v>
      </c>
      <c r="G324" s="0" t="s">
        <v>75</v>
      </c>
      <c r="H324" s="0" t="s">
        <v>1912</v>
      </c>
      <c r="I324" s="0" t="s">
        <v>330</v>
      </c>
      <c r="J324" s="0" t="s">
        <v>1913</v>
      </c>
      <c r="K324" s="0" t="s">
        <v>50</v>
      </c>
      <c r="L324" s="0" t="str">
        <f aca="false">HYPERLINK("https://www.ncbi.nlm.nih.gov/snp/rs778530842", "rs778530842")</f>
        <v>rs778530842</v>
      </c>
      <c r="M324" s="0" t="str">
        <f aca="false">HYPERLINK("https://www.genecards.org/Search/Keyword?queryString=%5Baliases%5D(%20CNPY3-GNMT%20)%20OR%20%5Baliases%5D(%20GNMT%20)&amp;keywords=CNPY3-GNMT,GNMT", "CNPY3-GNMT;GNMT")</f>
        <v>CNPY3-GNMT;GNMT</v>
      </c>
      <c r="N324" s="0" t="s">
        <v>80</v>
      </c>
      <c r="O324" s="0" t="s">
        <v>50</v>
      </c>
      <c r="P324" s="0" t="s">
        <v>50</v>
      </c>
      <c r="Q324" s="0" t="n">
        <v>0.0009</v>
      </c>
      <c r="R324" s="0" t="n">
        <v>-1</v>
      </c>
      <c r="S324" s="0" t="n">
        <v>-1</v>
      </c>
      <c r="T324" s="0" t="n">
        <v>-1</v>
      </c>
      <c r="U324" s="0" t="n">
        <v>-1</v>
      </c>
      <c r="V324" s="0" t="s">
        <v>50</v>
      </c>
      <c r="W324" s="0" t="s">
        <v>50</v>
      </c>
      <c r="X324" s="0" t="s">
        <v>49</v>
      </c>
      <c r="Y324" s="0" t="s">
        <v>82</v>
      </c>
      <c r="Z324" s="0" t="s">
        <v>50</v>
      </c>
      <c r="AA324" s="0" t="s">
        <v>50</v>
      </c>
      <c r="AB324" s="0" t="s">
        <v>50</v>
      </c>
      <c r="AC324" s="0" t="s">
        <v>53</v>
      </c>
      <c r="AD324" s="0" t="s">
        <v>157</v>
      </c>
      <c r="AE324" s="0" t="s">
        <v>1914</v>
      </c>
      <c r="AF324" s="0" t="s">
        <v>1915</v>
      </c>
      <c r="AG324" s="0" t="s">
        <v>1916</v>
      </c>
      <c r="AH324" s="0" t="s">
        <v>50</v>
      </c>
      <c r="AI324" s="0" t="s">
        <v>50</v>
      </c>
      <c r="AJ324" s="0" t="s">
        <v>50</v>
      </c>
      <c r="AK324" s="0" t="s">
        <v>50</v>
      </c>
      <c r="AL324" s="0" t="s">
        <v>50</v>
      </c>
    </row>
    <row r="325" customFormat="false" ht="13.8" hidden="false" customHeight="false" outlineLevel="0" collapsed="false">
      <c r="B325" s="0" t="str">
        <f aca="false">HYPERLINK("https://genome.ucsc.edu/cgi-bin/hgTracks?db=hg19&amp;position=chr6%3A42932373%2D42932373", "chr6:42932373")</f>
        <v>chr6:42932373</v>
      </c>
      <c r="C325" s="0" t="s">
        <v>210</v>
      </c>
      <c r="D325" s="0" t="n">
        <v>42932373</v>
      </c>
      <c r="E325" s="0" t="n">
        <v>42932373</v>
      </c>
      <c r="F325" s="0" t="s">
        <v>40</v>
      </c>
      <c r="G325" s="0" t="s">
        <v>39</v>
      </c>
      <c r="H325" s="0" t="s">
        <v>1917</v>
      </c>
      <c r="I325" s="0" t="s">
        <v>1099</v>
      </c>
      <c r="J325" s="0" t="s">
        <v>1918</v>
      </c>
      <c r="K325" s="0" t="s">
        <v>50</v>
      </c>
      <c r="L325" s="0" t="str">
        <f aca="false">HYPERLINK("https://www.ncbi.nlm.nih.gov/snp/rs1025649053", "rs1025649053")</f>
        <v>rs1025649053</v>
      </c>
      <c r="M325" s="0" t="str">
        <f aca="false">HYPERLINK("https://www.genecards.org/Search/Keyword?queryString=%5Baliases%5D(%20PEX6%20)&amp;keywords=PEX6", "PEX6")</f>
        <v>PEX6</v>
      </c>
      <c r="N325" s="0" t="s">
        <v>80</v>
      </c>
      <c r="O325" s="0" t="s">
        <v>50</v>
      </c>
      <c r="P325" s="0" t="s">
        <v>50</v>
      </c>
      <c r="Q325" s="0" t="n">
        <v>0.0009</v>
      </c>
      <c r="R325" s="0" t="n">
        <v>9.144E-005</v>
      </c>
      <c r="S325" s="0" t="n">
        <v>7.427E-005</v>
      </c>
      <c r="T325" s="0" t="n">
        <v>-1</v>
      </c>
      <c r="U325" s="0" t="n">
        <v>0.0002</v>
      </c>
      <c r="V325" s="0" t="s">
        <v>50</v>
      </c>
      <c r="W325" s="0" t="s">
        <v>50</v>
      </c>
      <c r="X325" s="0" t="s">
        <v>81</v>
      </c>
      <c r="Y325" s="0" t="s">
        <v>82</v>
      </c>
      <c r="Z325" s="0" t="s">
        <v>50</v>
      </c>
      <c r="AA325" s="0" t="s">
        <v>50</v>
      </c>
      <c r="AB325" s="0" t="s">
        <v>50</v>
      </c>
      <c r="AC325" s="0" t="s">
        <v>53</v>
      </c>
      <c r="AD325" s="0" t="s">
        <v>54</v>
      </c>
      <c r="AE325" s="0" t="s">
        <v>1919</v>
      </c>
      <c r="AF325" s="0" t="s">
        <v>1920</v>
      </c>
      <c r="AG325" s="0" t="s">
        <v>1921</v>
      </c>
      <c r="AH325" s="0" t="s">
        <v>1922</v>
      </c>
      <c r="AI325" s="0" t="s">
        <v>50</v>
      </c>
      <c r="AJ325" s="0" t="s">
        <v>50</v>
      </c>
      <c r="AK325" s="0" t="s">
        <v>50</v>
      </c>
      <c r="AL325" s="0" t="s">
        <v>50</v>
      </c>
    </row>
    <row r="326" customFormat="false" ht="13.8" hidden="false" customHeight="false" outlineLevel="0" collapsed="false">
      <c r="B326" s="0" t="str">
        <f aca="false">HYPERLINK("https://genome.ucsc.edu/cgi-bin/hgTracks?db=hg19&amp;position=chr6%3A73026413%2D73026413", "chr6:73026413")</f>
        <v>chr6:73026413</v>
      </c>
      <c r="C326" s="0" t="s">
        <v>210</v>
      </c>
      <c r="D326" s="0" t="n">
        <v>73026413</v>
      </c>
      <c r="E326" s="0" t="n">
        <v>73026413</v>
      </c>
      <c r="F326" s="0" t="s">
        <v>74</v>
      </c>
      <c r="G326" s="0" t="s">
        <v>75</v>
      </c>
      <c r="H326" s="0" t="s">
        <v>1923</v>
      </c>
      <c r="I326" s="0" t="s">
        <v>1420</v>
      </c>
      <c r="J326" s="0" t="s">
        <v>1924</v>
      </c>
      <c r="K326" s="0" t="s">
        <v>50</v>
      </c>
      <c r="L326" s="0" t="str">
        <f aca="false">HYPERLINK("https://www.ncbi.nlm.nih.gov/snp/rs576982825", "rs576982825")</f>
        <v>rs576982825</v>
      </c>
      <c r="M326" s="0" t="str">
        <f aca="false">HYPERLINK("https://www.genecards.org/Search/Keyword?queryString=%5Baliases%5D(%20RIMS1%20)&amp;keywords=RIMS1", "RIMS1")</f>
        <v>RIMS1</v>
      </c>
      <c r="N326" s="0" t="s">
        <v>390</v>
      </c>
      <c r="O326" s="0" t="s">
        <v>50</v>
      </c>
      <c r="P326" s="0" t="s">
        <v>50</v>
      </c>
      <c r="Q326" s="0" t="n">
        <v>0.0086</v>
      </c>
      <c r="R326" s="0" t="n">
        <v>0.0007</v>
      </c>
      <c r="S326" s="0" t="n">
        <v>0.0006</v>
      </c>
      <c r="T326" s="0" t="n">
        <v>-1</v>
      </c>
      <c r="U326" s="0" t="n">
        <v>0.0011</v>
      </c>
      <c r="V326" s="0" t="s">
        <v>50</v>
      </c>
      <c r="W326" s="0" t="s">
        <v>50</v>
      </c>
      <c r="X326" s="0" t="s">
        <v>50</v>
      </c>
      <c r="Y326" s="0" t="s">
        <v>50</v>
      </c>
      <c r="Z326" s="0" t="s">
        <v>50</v>
      </c>
      <c r="AA326" s="0" t="s">
        <v>50</v>
      </c>
      <c r="AB326" s="0" t="s">
        <v>50</v>
      </c>
      <c r="AC326" s="0" t="s">
        <v>53</v>
      </c>
      <c r="AD326" s="0" t="s">
        <v>54</v>
      </c>
      <c r="AE326" s="0" t="s">
        <v>1925</v>
      </c>
      <c r="AF326" s="0" t="s">
        <v>1926</v>
      </c>
      <c r="AG326" s="0" t="s">
        <v>1927</v>
      </c>
      <c r="AH326" s="0" t="s">
        <v>1928</v>
      </c>
      <c r="AI326" s="0" t="s">
        <v>50</v>
      </c>
      <c r="AJ326" s="0" t="s">
        <v>50</v>
      </c>
      <c r="AK326" s="0" t="s">
        <v>50</v>
      </c>
      <c r="AL326" s="0" t="s">
        <v>50</v>
      </c>
    </row>
    <row r="327" customFormat="false" ht="13.8" hidden="false" customHeight="false" outlineLevel="0" collapsed="false">
      <c r="B327" s="0" t="str">
        <f aca="false">HYPERLINK("https://genome.ucsc.edu/cgi-bin/hgTracks?db=hg19&amp;position=chr6%3A74117841%2D74117841", "chr6:74117841")</f>
        <v>chr6:74117841</v>
      </c>
      <c r="C327" s="0" t="s">
        <v>210</v>
      </c>
      <c r="D327" s="0" t="n">
        <v>74117841</v>
      </c>
      <c r="E327" s="0" t="n">
        <v>74117841</v>
      </c>
      <c r="F327" s="0" t="s">
        <v>74</v>
      </c>
      <c r="G327" s="0" t="s">
        <v>40</v>
      </c>
      <c r="H327" s="0" t="s">
        <v>1929</v>
      </c>
      <c r="I327" s="0" t="s">
        <v>1902</v>
      </c>
      <c r="J327" s="0" t="s">
        <v>1930</v>
      </c>
      <c r="K327" s="0" t="s">
        <v>50</v>
      </c>
      <c r="L327" s="0" t="str">
        <f aca="false">HYPERLINK("https://www.ncbi.nlm.nih.gov/snp/rs756575224", "rs756575224")</f>
        <v>rs756575224</v>
      </c>
      <c r="M327" s="0" t="str">
        <f aca="false">HYPERLINK("https://www.genecards.org/Search/Keyword?queryString=%5Baliases%5D(%20DDX43%20)&amp;keywords=DDX43", "DDX43")</f>
        <v>DDX43</v>
      </c>
      <c r="N327" s="0" t="s">
        <v>80</v>
      </c>
      <c r="O327" s="0" t="s">
        <v>50</v>
      </c>
      <c r="P327" s="0" t="s">
        <v>50</v>
      </c>
      <c r="Q327" s="0" t="n">
        <v>6.5E-006</v>
      </c>
      <c r="R327" s="0" t="n">
        <v>-1</v>
      </c>
      <c r="S327" s="0" t="n">
        <v>-1</v>
      </c>
      <c r="T327" s="0" t="n">
        <v>-1</v>
      </c>
      <c r="U327" s="0" t="n">
        <v>-1</v>
      </c>
      <c r="V327" s="0" t="s">
        <v>50</v>
      </c>
      <c r="W327" s="0" t="s">
        <v>50</v>
      </c>
      <c r="X327" s="0" t="s">
        <v>81</v>
      </c>
      <c r="Y327" s="0" t="s">
        <v>82</v>
      </c>
      <c r="Z327" s="0" t="s">
        <v>50</v>
      </c>
      <c r="AA327" s="0" t="s">
        <v>50</v>
      </c>
      <c r="AB327" s="0" t="s">
        <v>50</v>
      </c>
      <c r="AC327" s="0" t="s">
        <v>53</v>
      </c>
      <c r="AD327" s="0" t="s">
        <v>54</v>
      </c>
      <c r="AE327" s="0" t="s">
        <v>1931</v>
      </c>
      <c r="AF327" s="0" t="s">
        <v>1932</v>
      </c>
      <c r="AG327" s="0" t="s">
        <v>50</v>
      </c>
      <c r="AH327" s="0" t="s">
        <v>50</v>
      </c>
      <c r="AI327" s="0" t="s">
        <v>50</v>
      </c>
      <c r="AJ327" s="0" t="s">
        <v>50</v>
      </c>
      <c r="AK327" s="0" t="s">
        <v>50</v>
      </c>
      <c r="AL327" s="0" t="s">
        <v>50</v>
      </c>
    </row>
    <row r="328" customFormat="false" ht="13.8" hidden="false" customHeight="false" outlineLevel="0" collapsed="false">
      <c r="B328" s="0" t="str">
        <f aca="false">HYPERLINK("https://genome.ucsc.edu/cgi-bin/hgTracks?db=hg19&amp;position=chr6%3A111896792%2D111896795", "chr6:111896792")</f>
        <v>chr6:111896792</v>
      </c>
      <c r="C328" s="0" t="s">
        <v>210</v>
      </c>
      <c r="D328" s="0" t="n">
        <v>111896792</v>
      </c>
      <c r="E328" s="0" t="n">
        <v>111896795</v>
      </c>
      <c r="F328" s="0" t="s">
        <v>1853</v>
      </c>
      <c r="G328" s="0" t="s">
        <v>308</v>
      </c>
      <c r="H328" s="0" t="s">
        <v>1933</v>
      </c>
      <c r="I328" s="0" t="s">
        <v>1226</v>
      </c>
      <c r="J328" s="0" t="s">
        <v>1934</v>
      </c>
      <c r="K328" s="0" t="s">
        <v>50</v>
      </c>
      <c r="L328" s="0" t="s">
        <v>50</v>
      </c>
      <c r="M328" s="0" t="str">
        <f aca="false">HYPERLINK("https://www.genecards.org/Search/Keyword?queryString=%5Baliases%5D(%20TRAF3IP2%20)%20OR%20%5Baliases%5D(%20TRAF3IP2-AS1%20)&amp;keywords=TRAF3IP2,TRAF3IP2-AS1", "TRAF3IP2;TRAF3IP2-AS1")</f>
        <v>TRAF3IP2;TRAF3IP2-AS1</v>
      </c>
      <c r="N328" s="0" t="s">
        <v>347</v>
      </c>
      <c r="O328" s="0" t="s">
        <v>50</v>
      </c>
      <c r="P328" s="0" t="s">
        <v>50</v>
      </c>
      <c r="Q328" s="0" t="n">
        <v>-1</v>
      </c>
      <c r="R328" s="0" t="n">
        <v>-1</v>
      </c>
      <c r="S328" s="0" t="n">
        <v>-1</v>
      </c>
      <c r="T328" s="0" t="n">
        <v>-1</v>
      </c>
      <c r="U328" s="0" t="n">
        <v>-1</v>
      </c>
      <c r="V328" s="0" t="s">
        <v>50</v>
      </c>
      <c r="W328" s="0" t="s">
        <v>50</v>
      </c>
      <c r="X328" s="0" t="s">
        <v>50</v>
      </c>
      <c r="Y328" s="0" t="s">
        <v>50</v>
      </c>
      <c r="Z328" s="0" t="s">
        <v>50</v>
      </c>
      <c r="AA328" s="0" t="s">
        <v>50</v>
      </c>
      <c r="AB328" s="0" t="s">
        <v>50</v>
      </c>
      <c r="AC328" s="0" t="s">
        <v>455</v>
      </c>
      <c r="AD328" s="0" t="s">
        <v>157</v>
      </c>
      <c r="AE328" s="0" t="s">
        <v>1935</v>
      </c>
      <c r="AF328" s="0" t="s">
        <v>1936</v>
      </c>
      <c r="AG328" s="0" t="s">
        <v>1937</v>
      </c>
      <c r="AH328" s="0" t="s">
        <v>1938</v>
      </c>
      <c r="AI328" s="0" t="s">
        <v>632</v>
      </c>
      <c r="AJ328" s="0" t="s">
        <v>50</v>
      </c>
      <c r="AK328" s="0" t="s">
        <v>50</v>
      </c>
      <c r="AL328" s="0" t="s">
        <v>50</v>
      </c>
    </row>
    <row r="329" s="2" customFormat="true" ht="13.8" hidden="false" customHeight="false" outlineLevel="0" collapsed="false">
      <c r="B329" s="2" t="str">
        <f aca="false">HYPERLINK("https://genome.ucsc.edu/cgi-bin/hgTracks?db=hg19&amp;position=chr6%3A123759469%2D123759469", "chr6:123759469")</f>
        <v>chr6:123759469</v>
      </c>
      <c r="C329" s="2" t="s">
        <v>210</v>
      </c>
      <c r="D329" s="2" t="n">
        <v>123759469</v>
      </c>
      <c r="E329" s="2" t="n">
        <v>123759469</v>
      </c>
      <c r="F329" s="2" t="s">
        <v>308</v>
      </c>
      <c r="G329" s="2" t="s">
        <v>1400</v>
      </c>
      <c r="H329" s="2" t="s">
        <v>1939</v>
      </c>
      <c r="I329" s="2" t="s">
        <v>678</v>
      </c>
      <c r="J329" s="2" t="s">
        <v>679</v>
      </c>
      <c r="K329" s="2" t="s">
        <v>50</v>
      </c>
      <c r="L329" s="2" t="s">
        <v>50</v>
      </c>
      <c r="M329" s="2" t="str">
        <f aca="false">HYPERLINK("https://www.genecards.org/Search/Keyword?queryString=%5Baliases%5D(%20TRDN%20)&amp;keywords=TRDN", "TRDN")</f>
        <v>TRDN</v>
      </c>
      <c r="N329" s="2" t="s">
        <v>347</v>
      </c>
      <c r="O329" s="2" t="s">
        <v>50</v>
      </c>
      <c r="P329" s="2" t="s">
        <v>50</v>
      </c>
      <c r="Q329" s="2" t="n">
        <v>0.0006</v>
      </c>
      <c r="R329" s="2" t="n">
        <v>0.0005</v>
      </c>
      <c r="S329" s="2" t="n">
        <v>0.0003</v>
      </c>
      <c r="T329" s="2" t="n">
        <v>-1</v>
      </c>
      <c r="U329" s="2" t="n">
        <v>0.0004</v>
      </c>
      <c r="V329" s="2" t="s">
        <v>50</v>
      </c>
      <c r="W329" s="2" t="s">
        <v>50</v>
      </c>
      <c r="X329" s="2" t="s">
        <v>50</v>
      </c>
      <c r="Y329" s="2" t="s">
        <v>50</v>
      </c>
      <c r="Z329" s="2" t="s">
        <v>50</v>
      </c>
      <c r="AA329" s="2" t="s">
        <v>50</v>
      </c>
      <c r="AB329" s="2" t="s">
        <v>50</v>
      </c>
      <c r="AC329" s="2" t="s">
        <v>53</v>
      </c>
      <c r="AD329" s="2" t="s">
        <v>54</v>
      </c>
      <c r="AE329" s="2" t="s">
        <v>1940</v>
      </c>
      <c r="AF329" s="2" t="s">
        <v>1941</v>
      </c>
      <c r="AG329" s="2" t="s">
        <v>1942</v>
      </c>
      <c r="AH329" s="2" t="s">
        <v>1943</v>
      </c>
      <c r="AI329" s="2" t="s">
        <v>50</v>
      </c>
      <c r="AJ329" s="2" t="s">
        <v>50</v>
      </c>
      <c r="AK329" s="2" t="s">
        <v>50</v>
      </c>
      <c r="AL329" s="2" t="s">
        <v>50</v>
      </c>
    </row>
    <row r="330" customFormat="false" ht="13.8" hidden="false" customHeight="false" outlineLevel="0" collapsed="false">
      <c r="B330" s="0" t="str">
        <f aca="false">HYPERLINK("https://genome.ucsc.edu/cgi-bin/hgTracks?db=hg19&amp;position=chr6%3A132141080%2D132141080", "chr6:132141080")</f>
        <v>chr6:132141080</v>
      </c>
      <c r="C330" s="0" t="s">
        <v>210</v>
      </c>
      <c r="D330" s="0" t="n">
        <v>132141080</v>
      </c>
      <c r="E330" s="0" t="n">
        <v>132141080</v>
      </c>
      <c r="F330" s="0" t="s">
        <v>40</v>
      </c>
      <c r="G330" s="0" t="s">
        <v>308</v>
      </c>
      <c r="H330" s="0" t="s">
        <v>1765</v>
      </c>
      <c r="I330" s="0" t="s">
        <v>525</v>
      </c>
      <c r="J330" s="0" t="s">
        <v>1944</v>
      </c>
      <c r="K330" s="0" t="s">
        <v>50</v>
      </c>
      <c r="L330" s="0" t="str">
        <f aca="false">HYPERLINK("https://www.ncbi.nlm.nih.gov/snp/rs879089760", "rs879089760")</f>
        <v>rs879089760</v>
      </c>
      <c r="M330" s="0" t="str">
        <f aca="false">HYPERLINK("https://www.genecards.org/Search/Keyword?queryString=%5Baliases%5D(%20ENPP1%20)&amp;keywords=ENPP1", "ENPP1")</f>
        <v>ENPP1</v>
      </c>
      <c r="N330" s="0" t="s">
        <v>390</v>
      </c>
      <c r="O330" s="0" t="s">
        <v>50</v>
      </c>
      <c r="P330" s="0" t="s">
        <v>50</v>
      </c>
      <c r="Q330" s="0" t="n">
        <v>0.0285</v>
      </c>
      <c r="R330" s="0" t="n">
        <v>0.029</v>
      </c>
      <c r="S330" s="0" t="n">
        <v>0.0311</v>
      </c>
      <c r="T330" s="0" t="n">
        <v>-1</v>
      </c>
      <c r="U330" s="0" t="n">
        <v>0.032</v>
      </c>
      <c r="V330" s="0" t="s">
        <v>50</v>
      </c>
      <c r="W330" s="0" t="s">
        <v>50</v>
      </c>
      <c r="X330" s="0" t="s">
        <v>50</v>
      </c>
      <c r="Y330" s="0" t="s">
        <v>50</v>
      </c>
      <c r="Z330" s="0" t="s">
        <v>50</v>
      </c>
      <c r="AA330" s="0" t="s">
        <v>50</v>
      </c>
      <c r="AB330" s="0" t="s">
        <v>50</v>
      </c>
      <c r="AC330" s="0" t="s">
        <v>53</v>
      </c>
      <c r="AD330" s="0" t="s">
        <v>54</v>
      </c>
      <c r="AE330" s="0" t="s">
        <v>1945</v>
      </c>
      <c r="AF330" s="0" t="s">
        <v>1946</v>
      </c>
      <c r="AG330" s="0" t="s">
        <v>1947</v>
      </c>
      <c r="AH330" s="0" t="s">
        <v>1948</v>
      </c>
      <c r="AI330" s="0" t="s">
        <v>50</v>
      </c>
      <c r="AJ330" s="0" t="s">
        <v>50</v>
      </c>
      <c r="AK330" s="0" t="s">
        <v>50</v>
      </c>
      <c r="AL330" s="0" t="s">
        <v>50</v>
      </c>
    </row>
    <row r="331" customFormat="false" ht="13.8" hidden="false" customHeight="false" outlineLevel="0" collapsed="false">
      <c r="B331" s="0" t="str">
        <f aca="false">HYPERLINK("https://genome.ucsc.edu/cgi-bin/hgTracks?db=hg19&amp;position=chr6%3A138703537%2D138703537", "chr6:138703537")</f>
        <v>chr6:138703537</v>
      </c>
      <c r="C331" s="0" t="s">
        <v>210</v>
      </c>
      <c r="D331" s="0" t="n">
        <v>138703537</v>
      </c>
      <c r="E331" s="0" t="n">
        <v>138703537</v>
      </c>
      <c r="F331" s="0" t="s">
        <v>75</v>
      </c>
      <c r="G331" s="0" t="s">
        <v>74</v>
      </c>
      <c r="H331" s="0" t="s">
        <v>1949</v>
      </c>
      <c r="I331" s="0" t="s">
        <v>367</v>
      </c>
      <c r="J331" s="0" t="s">
        <v>368</v>
      </c>
      <c r="K331" s="0" t="s">
        <v>50</v>
      </c>
      <c r="L331" s="0" t="s">
        <v>50</v>
      </c>
      <c r="M331" s="0" t="str">
        <f aca="false">HYPERLINK("https://www.genecards.org/Search/Keyword?queryString=%5Baliases%5D(%20SMIM28%20)&amp;keywords=SMIM28", "SMIM28")</f>
        <v>SMIM28</v>
      </c>
      <c r="N331" s="0" t="s">
        <v>1465</v>
      </c>
      <c r="O331" s="0" t="s">
        <v>50</v>
      </c>
      <c r="P331" s="0" t="s">
        <v>1950</v>
      </c>
      <c r="Q331" s="0" t="n">
        <v>0.0012</v>
      </c>
      <c r="R331" s="0" t="n">
        <v>0.0012</v>
      </c>
      <c r="S331" s="0" t="n">
        <v>0.0008</v>
      </c>
      <c r="T331" s="0" t="n">
        <v>-1</v>
      </c>
      <c r="U331" s="0" t="n">
        <v>0.0021</v>
      </c>
      <c r="V331" s="0" t="s">
        <v>50</v>
      </c>
      <c r="W331" s="0" t="s">
        <v>50</v>
      </c>
      <c r="X331" s="0" t="s">
        <v>49</v>
      </c>
      <c r="Y331" s="0" t="s">
        <v>82</v>
      </c>
      <c r="Z331" s="0" t="s">
        <v>50</v>
      </c>
      <c r="AA331" s="0" t="s">
        <v>50</v>
      </c>
      <c r="AB331" s="0" t="s">
        <v>50</v>
      </c>
      <c r="AC331" s="0" t="s">
        <v>53</v>
      </c>
      <c r="AD331" s="0" t="s">
        <v>54</v>
      </c>
      <c r="AE331" s="0" t="s">
        <v>50</v>
      </c>
      <c r="AF331" s="0" t="s">
        <v>50</v>
      </c>
      <c r="AG331" s="0" t="s">
        <v>50</v>
      </c>
      <c r="AH331" s="0" t="s">
        <v>50</v>
      </c>
      <c r="AI331" s="0" t="s">
        <v>50</v>
      </c>
      <c r="AJ331" s="0" t="s">
        <v>50</v>
      </c>
      <c r="AK331" s="0" t="s">
        <v>50</v>
      </c>
      <c r="AL331" s="0" t="s">
        <v>50</v>
      </c>
    </row>
    <row r="332" customFormat="false" ht="13.8" hidden="false" customHeight="false" outlineLevel="0" collapsed="false">
      <c r="B332" s="0" t="str">
        <f aca="false">HYPERLINK("https://genome.ucsc.edu/cgi-bin/hgTracks?db=hg19&amp;position=chr6%3A150209805%2D150209805", "chr6:150209805")</f>
        <v>chr6:150209805</v>
      </c>
      <c r="C332" s="0" t="s">
        <v>210</v>
      </c>
      <c r="D332" s="0" t="n">
        <v>150209805</v>
      </c>
      <c r="E332" s="0" t="n">
        <v>150209805</v>
      </c>
      <c r="F332" s="0" t="s">
        <v>308</v>
      </c>
      <c r="G332" s="0" t="s">
        <v>1951</v>
      </c>
      <c r="H332" s="0" t="s">
        <v>1952</v>
      </c>
      <c r="I332" s="0" t="s">
        <v>590</v>
      </c>
      <c r="J332" s="0" t="s">
        <v>1953</v>
      </c>
      <c r="K332" s="0" t="s">
        <v>50</v>
      </c>
      <c r="L332" s="0" t="s">
        <v>50</v>
      </c>
      <c r="M332" s="0" t="str">
        <f aca="false">HYPERLINK("https://www.genecards.org/Search/Keyword?queryString=%5Baliases%5D(%20RAET1E%20)&amp;keywords=RAET1E", "RAET1E")</f>
        <v>RAET1E</v>
      </c>
      <c r="N332" s="0" t="s">
        <v>64</v>
      </c>
      <c r="O332" s="0" t="s">
        <v>50</v>
      </c>
      <c r="P332" s="0" t="s">
        <v>1954</v>
      </c>
      <c r="Q332" s="0" t="n">
        <v>0.0184</v>
      </c>
      <c r="R332" s="0" t="n">
        <v>0.0197</v>
      </c>
      <c r="S332" s="0" t="n">
        <v>0.0162</v>
      </c>
      <c r="T332" s="0" t="n">
        <v>-1</v>
      </c>
      <c r="U332" s="0" t="n">
        <v>0.0195</v>
      </c>
      <c r="V332" s="0" t="s">
        <v>50</v>
      </c>
      <c r="W332" s="0" t="s">
        <v>50</v>
      </c>
      <c r="X332" s="0" t="s">
        <v>50</v>
      </c>
      <c r="Y332" s="0" t="s">
        <v>50</v>
      </c>
      <c r="Z332" s="0" t="s">
        <v>50</v>
      </c>
      <c r="AA332" s="0" t="s">
        <v>50</v>
      </c>
      <c r="AB332" s="0" t="s">
        <v>50</v>
      </c>
      <c r="AC332" s="0" t="s">
        <v>53</v>
      </c>
      <c r="AD332" s="0" t="s">
        <v>54</v>
      </c>
      <c r="AE332" s="0" t="s">
        <v>1955</v>
      </c>
      <c r="AF332" s="0" t="s">
        <v>1956</v>
      </c>
      <c r="AG332" s="0" t="s">
        <v>1957</v>
      </c>
      <c r="AH332" s="0" t="s">
        <v>50</v>
      </c>
      <c r="AI332" s="0" t="s">
        <v>50</v>
      </c>
      <c r="AJ332" s="0" t="s">
        <v>50</v>
      </c>
      <c r="AK332" s="0" t="s">
        <v>50</v>
      </c>
      <c r="AL332" s="0" t="s">
        <v>50</v>
      </c>
    </row>
    <row r="333" customFormat="false" ht="13.8" hidden="false" customHeight="false" outlineLevel="0" collapsed="false">
      <c r="B333" s="0" t="str">
        <f aca="false">HYPERLINK("https://genome.ucsc.edu/cgi-bin/hgTracks?db=hg19&amp;position=chr6%3A152489067%2D152489067", "chr6:152489067")</f>
        <v>chr6:152489067</v>
      </c>
      <c r="C333" s="0" t="s">
        <v>210</v>
      </c>
      <c r="D333" s="0" t="n">
        <v>152489067</v>
      </c>
      <c r="E333" s="0" t="n">
        <v>152489067</v>
      </c>
      <c r="F333" s="0" t="s">
        <v>39</v>
      </c>
      <c r="G333" s="0" t="s">
        <v>75</v>
      </c>
      <c r="H333" s="0" t="s">
        <v>1051</v>
      </c>
      <c r="I333" s="0" t="s">
        <v>678</v>
      </c>
      <c r="J333" s="0" t="s">
        <v>1958</v>
      </c>
      <c r="K333" s="0" t="s">
        <v>50</v>
      </c>
      <c r="L333" s="0" t="str">
        <f aca="false">HYPERLINK("https://www.ncbi.nlm.nih.gov/snp/rs770843792", "rs770843792")</f>
        <v>rs770843792</v>
      </c>
      <c r="M333" s="0" t="str">
        <f aca="false">HYPERLINK("https://www.genecards.org/Search/Keyword?queryString=%5Baliases%5D(%20MIR3163%20)%20OR%20%5Baliases%5D(%20SYNE1%20)&amp;keywords=MIR3163,SYNE1", "MIR3163;SYNE1")</f>
        <v>MIR3163;SYNE1</v>
      </c>
      <c r="N333" s="0" t="s">
        <v>347</v>
      </c>
      <c r="O333" s="0" t="s">
        <v>50</v>
      </c>
      <c r="P333" s="0" t="s">
        <v>50</v>
      </c>
      <c r="Q333" s="0" t="n">
        <v>1.29E-005</v>
      </c>
      <c r="R333" s="0" t="n">
        <v>-1</v>
      </c>
      <c r="S333" s="0" t="n">
        <v>-1</v>
      </c>
      <c r="T333" s="0" t="n">
        <v>-1</v>
      </c>
      <c r="U333" s="0" t="n">
        <v>-1</v>
      </c>
      <c r="V333" s="0" t="s">
        <v>50</v>
      </c>
      <c r="W333" s="0" t="s">
        <v>50</v>
      </c>
      <c r="X333" s="0" t="s">
        <v>50</v>
      </c>
      <c r="Y333" s="0" t="s">
        <v>50</v>
      </c>
      <c r="Z333" s="0" t="s">
        <v>50</v>
      </c>
      <c r="AA333" s="0" t="s">
        <v>50</v>
      </c>
      <c r="AB333" s="0" t="s">
        <v>50</v>
      </c>
      <c r="AC333" s="0" t="s">
        <v>53</v>
      </c>
      <c r="AD333" s="0" t="s">
        <v>997</v>
      </c>
      <c r="AE333" s="0" t="s">
        <v>1959</v>
      </c>
      <c r="AF333" s="0" t="s">
        <v>1960</v>
      </c>
      <c r="AG333" s="0" t="s">
        <v>1961</v>
      </c>
      <c r="AH333" s="0" t="s">
        <v>1962</v>
      </c>
      <c r="AI333" s="0" t="s">
        <v>50</v>
      </c>
      <c r="AJ333" s="0" t="s">
        <v>50</v>
      </c>
      <c r="AK333" s="0" t="s">
        <v>50</v>
      </c>
      <c r="AL333" s="0" t="s">
        <v>50</v>
      </c>
    </row>
    <row r="334" customFormat="false" ht="13.8" hidden="false" customHeight="false" outlineLevel="0" collapsed="false">
      <c r="B334" s="0" t="str">
        <f aca="false">HYPERLINK("https://genome.ucsc.edu/cgi-bin/hgTracks?db=hg19&amp;position=chr6%3A152539326%2D152539326", "chr6:152539326")</f>
        <v>chr6:152539326</v>
      </c>
      <c r="C334" s="0" t="s">
        <v>210</v>
      </c>
      <c r="D334" s="0" t="n">
        <v>152539326</v>
      </c>
      <c r="E334" s="0" t="n">
        <v>152539326</v>
      </c>
      <c r="F334" s="0" t="s">
        <v>308</v>
      </c>
      <c r="G334" s="0" t="s">
        <v>75</v>
      </c>
      <c r="H334" s="0" t="s">
        <v>946</v>
      </c>
      <c r="I334" s="0" t="s">
        <v>1226</v>
      </c>
      <c r="J334" s="0" t="s">
        <v>1963</v>
      </c>
      <c r="K334" s="0" t="s">
        <v>50</v>
      </c>
      <c r="L334" s="0" t="s">
        <v>50</v>
      </c>
      <c r="M334" s="0" t="str">
        <f aca="false">HYPERLINK("https://www.genecards.org/Search/Keyword?queryString=%5Baliases%5D(%20MIR3163%20)%20OR%20%5Baliases%5D(%20SYNE1%20)&amp;keywords=MIR3163,SYNE1", "MIR3163;SYNE1")</f>
        <v>MIR3163;SYNE1</v>
      </c>
      <c r="N334" s="0" t="s">
        <v>347</v>
      </c>
      <c r="O334" s="0" t="s">
        <v>50</v>
      </c>
      <c r="P334" s="0" t="s">
        <v>50</v>
      </c>
      <c r="Q334" s="0" t="n">
        <v>0.004</v>
      </c>
      <c r="R334" s="0" t="n">
        <v>0.0018</v>
      </c>
      <c r="S334" s="0" t="n">
        <v>0.0007</v>
      </c>
      <c r="T334" s="0" t="n">
        <v>-1</v>
      </c>
      <c r="U334" s="0" t="n">
        <v>0.0009</v>
      </c>
      <c r="V334" s="0" t="s">
        <v>50</v>
      </c>
      <c r="W334" s="0" t="s">
        <v>50</v>
      </c>
      <c r="X334" s="0" t="s">
        <v>50</v>
      </c>
      <c r="Y334" s="0" t="s">
        <v>50</v>
      </c>
      <c r="Z334" s="0" t="s">
        <v>50</v>
      </c>
      <c r="AA334" s="0" t="s">
        <v>50</v>
      </c>
      <c r="AB334" s="0" t="s">
        <v>50</v>
      </c>
      <c r="AC334" s="0" t="s">
        <v>53</v>
      </c>
      <c r="AD334" s="0" t="s">
        <v>997</v>
      </c>
      <c r="AE334" s="0" t="s">
        <v>1959</v>
      </c>
      <c r="AF334" s="0" t="s">
        <v>1960</v>
      </c>
      <c r="AG334" s="0" t="s">
        <v>1961</v>
      </c>
      <c r="AH334" s="0" t="s">
        <v>1962</v>
      </c>
      <c r="AI334" s="0" t="s">
        <v>50</v>
      </c>
      <c r="AJ334" s="0" t="s">
        <v>50</v>
      </c>
      <c r="AK334" s="0" t="s">
        <v>50</v>
      </c>
      <c r="AL334" s="0" t="s">
        <v>50</v>
      </c>
    </row>
    <row r="335" customFormat="false" ht="13.8" hidden="false" customHeight="false" outlineLevel="0" collapsed="false">
      <c r="B335" s="0" t="str">
        <f aca="false">HYPERLINK("https://genome.ucsc.edu/cgi-bin/hgTracks?db=hg19&amp;position=chr6%3A168459724%2D168459724", "chr6:168459724")</f>
        <v>chr6:168459724</v>
      </c>
      <c r="C335" s="0" t="s">
        <v>210</v>
      </c>
      <c r="D335" s="0" t="n">
        <v>168459724</v>
      </c>
      <c r="E335" s="0" t="n">
        <v>168459724</v>
      </c>
      <c r="F335" s="0" t="s">
        <v>39</v>
      </c>
      <c r="G335" s="0" t="s">
        <v>40</v>
      </c>
      <c r="H335" s="0" t="s">
        <v>1964</v>
      </c>
      <c r="I335" s="0" t="s">
        <v>310</v>
      </c>
      <c r="J335" s="0" t="s">
        <v>1965</v>
      </c>
      <c r="K335" s="0" t="s">
        <v>50</v>
      </c>
      <c r="L335" s="0" t="str">
        <f aca="false">HYPERLINK("https://www.ncbi.nlm.nih.gov/snp/rs189465441", "rs189465441")</f>
        <v>rs189465441</v>
      </c>
      <c r="M335" s="0" t="str">
        <f aca="false">HYPERLINK("https://www.genecards.org/Search/Keyword?queryString=%5Baliases%5D(%20FRMD1%20)&amp;keywords=FRMD1", "FRMD1")</f>
        <v>FRMD1</v>
      </c>
      <c r="N335" s="0" t="s">
        <v>80</v>
      </c>
      <c r="O335" s="0" t="s">
        <v>50</v>
      </c>
      <c r="P335" s="0" t="s">
        <v>50</v>
      </c>
      <c r="Q335" s="0" t="n">
        <v>0.008292</v>
      </c>
      <c r="R335" s="0" t="n">
        <v>0.0051</v>
      </c>
      <c r="S335" s="0" t="n">
        <v>0.0072</v>
      </c>
      <c r="T335" s="0" t="n">
        <v>-1</v>
      </c>
      <c r="U335" s="0" t="n">
        <v>0.0041</v>
      </c>
      <c r="V335" s="0" t="s">
        <v>50</v>
      </c>
      <c r="W335" s="0" t="s">
        <v>50</v>
      </c>
      <c r="X335" s="0" t="s">
        <v>81</v>
      </c>
      <c r="Y335" s="0" t="s">
        <v>82</v>
      </c>
      <c r="Z335" s="0" t="s">
        <v>50</v>
      </c>
      <c r="AA335" s="0" t="s">
        <v>50</v>
      </c>
      <c r="AB335" s="0" t="s">
        <v>50</v>
      </c>
      <c r="AC335" s="0" t="s">
        <v>53</v>
      </c>
      <c r="AD335" s="0" t="s">
        <v>54</v>
      </c>
      <c r="AE335" s="0" t="s">
        <v>1966</v>
      </c>
      <c r="AF335" s="0" t="s">
        <v>1967</v>
      </c>
      <c r="AG335" s="0" t="s">
        <v>50</v>
      </c>
      <c r="AH335" s="0" t="s">
        <v>50</v>
      </c>
      <c r="AI335" s="0" t="s">
        <v>50</v>
      </c>
      <c r="AJ335" s="0" t="s">
        <v>50</v>
      </c>
      <c r="AK335" s="0" t="s">
        <v>50</v>
      </c>
      <c r="AL335" s="0" t="s">
        <v>50</v>
      </c>
    </row>
    <row r="336" customFormat="false" ht="13.8" hidden="false" customHeight="false" outlineLevel="0" collapsed="false">
      <c r="B336" s="0" t="str">
        <f aca="false">HYPERLINK("https://genome.ucsc.edu/cgi-bin/hgTracks?db=hg19&amp;position=chr7%3A5997501%2D5997501", "chr7:5997501")</f>
        <v>chr7:5997501</v>
      </c>
      <c r="C336" s="0" t="s">
        <v>269</v>
      </c>
      <c r="D336" s="0" t="n">
        <v>5997501</v>
      </c>
      <c r="E336" s="0" t="n">
        <v>5997501</v>
      </c>
      <c r="F336" s="0" t="s">
        <v>74</v>
      </c>
      <c r="G336" s="0" t="s">
        <v>75</v>
      </c>
      <c r="H336" s="0" t="s">
        <v>1095</v>
      </c>
      <c r="I336" s="0" t="s">
        <v>1226</v>
      </c>
      <c r="J336" s="0" t="s">
        <v>1968</v>
      </c>
      <c r="K336" s="0" t="s">
        <v>50</v>
      </c>
      <c r="L336" s="0" t="str">
        <f aca="false">HYPERLINK("https://www.ncbi.nlm.nih.gov/snp/rs369207602", "rs369207602")</f>
        <v>rs369207602</v>
      </c>
      <c r="M336" s="0" t="str">
        <f aca="false">HYPERLINK("https://www.genecards.org/Search/Keyword?queryString=%5Baliases%5D(%20RSPH10B%20)%20OR%20%5Baliases%5D(%20RSPH10B2%20)&amp;keywords=RSPH10B,RSPH10B2", "RSPH10B;RSPH10B2")</f>
        <v>RSPH10B;RSPH10B2</v>
      </c>
      <c r="N336" s="0" t="s">
        <v>80</v>
      </c>
      <c r="O336" s="0" t="s">
        <v>50</v>
      </c>
      <c r="P336" s="0" t="s">
        <v>50</v>
      </c>
      <c r="Q336" s="0" t="n">
        <v>0.0216</v>
      </c>
      <c r="R336" s="0" t="n">
        <v>0.0069</v>
      </c>
      <c r="S336" s="0" t="n">
        <v>0.0079</v>
      </c>
      <c r="T336" s="0" t="n">
        <v>-1</v>
      </c>
      <c r="U336" s="0" t="n">
        <v>0.0072</v>
      </c>
      <c r="V336" s="0" t="s">
        <v>50</v>
      </c>
      <c r="W336" s="0" t="s">
        <v>50</v>
      </c>
      <c r="X336" s="0" t="s">
        <v>49</v>
      </c>
      <c r="Y336" s="0" t="s">
        <v>82</v>
      </c>
      <c r="Z336" s="0" t="s">
        <v>50</v>
      </c>
      <c r="AA336" s="0" t="s">
        <v>50</v>
      </c>
      <c r="AB336" s="0" t="s">
        <v>50</v>
      </c>
      <c r="AC336" s="0" t="s">
        <v>53</v>
      </c>
      <c r="AD336" s="0" t="s">
        <v>157</v>
      </c>
      <c r="AE336" s="0" t="s">
        <v>50</v>
      </c>
      <c r="AF336" s="0" t="s">
        <v>1969</v>
      </c>
      <c r="AG336" s="0" t="s">
        <v>50</v>
      </c>
      <c r="AH336" s="0" t="s">
        <v>50</v>
      </c>
      <c r="AI336" s="0" t="s">
        <v>50</v>
      </c>
      <c r="AJ336" s="0" t="s">
        <v>50</v>
      </c>
      <c r="AK336" s="0" t="s">
        <v>50</v>
      </c>
      <c r="AL336" s="0" t="s">
        <v>277</v>
      </c>
    </row>
    <row r="337" customFormat="false" ht="13.8" hidden="false" customHeight="false" outlineLevel="0" collapsed="false">
      <c r="B337" s="0" t="str">
        <f aca="false">HYPERLINK("https://genome.ucsc.edu/cgi-bin/hgTracks?db=hg19&amp;position=chr7%3A16128045%2D16128045", "chr7:16128045")</f>
        <v>chr7:16128045</v>
      </c>
      <c r="C337" s="0" t="s">
        <v>269</v>
      </c>
      <c r="D337" s="0" t="n">
        <v>16128045</v>
      </c>
      <c r="E337" s="0" t="n">
        <v>16128045</v>
      </c>
      <c r="F337" s="0" t="s">
        <v>308</v>
      </c>
      <c r="G337" s="0" t="s">
        <v>1504</v>
      </c>
      <c r="H337" s="0" t="s">
        <v>1970</v>
      </c>
      <c r="I337" s="0" t="s">
        <v>1506</v>
      </c>
      <c r="J337" s="0" t="s">
        <v>1971</v>
      </c>
      <c r="K337" s="0" t="s">
        <v>50</v>
      </c>
      <c r="L337" s="0" t="s">
        <v>50</v>
      </c>
      <c r="M337" s="0" t="str">
        <f aca="false">HYPERLINK("https://www.genecards.org/Search/Keyword?queryString=%5Baliases%5D(%20CRPPA%20)%20OR%20%5Baliases%5D(%20ISPD%20)&amp;keywords=CRPPA,ISPD", "CRPPA;ISPD")</f>
        <v>CRPPA;ISPD</v>
      </c>
      <c r="N337" s="0" t="s">
        <v>929</v>
      </c>
      <c r="O337" s="0" t="s">
        <v>50</v>
      </c>
      <c r="P337" s="0" t="s">
        <v>1972</v>
      </c>
      <c r="Q337" s="0" t="n">
        <v>-1</v>
      </c>
      <c r="R337" s="0" t="n">
        <v>-1</v>
      </c>
      <c r="S337" s="0" t="n">
        <v>-1</v>
      </c>
      <c r="T337" s="0" t="n">
        <v>-1</v>
      </c>
      <c r="U337" s="0" t="n">
        <v>-1</v>
      </c>
      <c r="V337" s="0" t="s">
        <v>50</v>
      </c>
      <c r="W337" s="0" t="s">
        <v>50</v>
      </c>
      <c r="X337" s="0" t="s">
        <v>50</v>
      </c>
      <c r="Y337" s="0" t="s">
        <v>50</v>
      </c>
      <c r="Z337" s="0" t="s">
        <v>50</v>
      </c>
      <c r="AA337" s="0" t="s">
        <v>50</v>
      </c>
      <c r="AB337" s="0" t="s">
        <v>50</v>
      </c>
      <c r="AC337" s="0" t="s">
        <v>455</v>
      </c>
      <c r="AD337" s="0" t="s">
        <v>157</v>
      </c>
      <c r="AE337" s="0" t="s">
        <v>1973</v>
      </c>
      <c r="AF337" s="0" t="s">
        <v>1974</v>
      </c>
      <c r="AG337" s="0" t="s">
        <v>1975</v>
      </c>
      <c r="AH337" s="0" t="s">
        <v>1976</v>
      </c>
      <c r="AI337" s="0" t="s">
        <v>50</v>
      </c>
      <c r="AJ337" s="0" t="s">
        <v>50</v>
      </c>
      <c r="AK337" s="0" t="s">
        <v>50</v>
      </c>
      <c r="AL337" s="0" t="s">
        <v>50</v>
      </c>
    </row>
    <row r="338" customFormat="false" ht="13.8" hidden="false" customHeight="false" outlineLevel="0" collapsed="false">
      <c r="B338" s="0" t="str">
        <f aca="false">HYPERLINK("https://genome.ucsc.edu/cgi-bin/hgTracks?db=hg19&amp;position=chr7%3A74160394%2D74160394", "chr7:74160394")</f>
        <v>chr7:74160394</v>
      </c>
      <c r="C338" s="0" t="s">
        <v>269</v>
      </c>
      <c r="D338" s="0" t="n">
        <v>74160394</v>
      </c>
      <c r="E338" s="0" t="n">
        <v>74160394</v>
      </c>
      <c r="F338" s="0" t="s">
        <v>75</v>
      </c>
      <c r="G338" s="0" t="s">
        <v>39</v>
      </c>
      <c r="H338" s="0" t="s">
        <v>1977</v>
      </c>
      <c r="I338" s="0" t="s">
        <v>621</v>
      </c>
      <c r="J338" s="0" t="s">
        <v>1978</v>
      </c>
      <c r="K338" s="0" t="s">
        <v>50</v>
      </c>
      <c r="L338" s="0" t="s">
        <v>50</v>
      </c>
      <c r="M338" s="0" t="str">
        <f aca="false">HYPERLINK("https://www.genecards.org/Search/Keyword?queryString=%5Baliases%5D(%20GTF2I%20)&amp;keywords=GTF2I", "GTF2I")</f>
        <v>GTF2I</v>
      </c>
      <c r="N338" s="0" t="s">
        <v>347</v>
      </c>
      <c r="O338" s="0" t="s">
        <v>50</v>
      </c>
      <c r="P338" s="0" t="s">
        <v>50</v>
      </c>
      <c r="Q338" s="0" t="n">
        <v>0.0253</v>
      </c>
      <c r="R338" s="0" t="n">
        <v>0.0136</v>
      </c>
      <c r="S338" s="0" t="n">
        <v>0.0134</v>
      </c>
      <c r="T338" s="0" t="n">
        <v>-1</v>
      </c>
      <c r="U338" s="0" t="n">
        <v>0.0088</v>
      </c>
      <c r="V338" s="0" t="s">
        <v>50</v>
      </c>
      <c r="W338" s="0" t="s">
        <v>50</v>
      </c>
      <c r="X338" s="0" t="s">
        <v>348</v>
      </c>
      <c r="Y338" s="0" t="s">
        <v>82</v>
      </c>
      <c r="Z338" s="0" t="s">
        <v>50</v>
      </c>
      <c r="AA338" s="0" t="s">
        <v>50</v>
      </c>
      <c r="AB338" s="0" t="s">
        <v>50</v>
      </c>
      <c r="AC338" s="0" t="s">
        <v>53</v>
      </c>
      <c r="AD338" s="0" t="s">
        <v>54</v>
      </c>
      <c r="AE338" s="0" t="s">
        <v>1979</v>
      </c>
      <c r="AF338" s="0" t="s">
        <v>1980</v>
      </c>
      <c r="AG338" s="0" t="s">
        <v>1981</v>
      </c>
      <c r="AH338" s="0" t="s">
        <v>1982</v>
      </c>
      <c r="AI338" s="0" t="s">
        <v>50</v>
      </c>
      <c r="AJ338" s="0" t="s">
        <v>50</v>
      </c>
      <c r="AK338" s="0" t="s">
        <v>50</v>
      </c>
      <c r="AL338" s="0" t="s">
        <v>50</v>
      </c>
    </row>
    <row r="339" customFormat="false" ht="13.8" hidden="false" customHeight="false" outlineLevel="0" collapsed="false">
      <c r="B339" s="0" t="str">
        <f aca="false">HYPERLINK("https://genome.ucsc.edu/cgi-bin/hgTracks?db=hg19&amp;position=chr7%3A92119346%2D92119346", "chr7:92119346")</f>
        <v>chr7:92119346</v>
      </c>
      <c r="C339" s="0" t="s">
        <v>269</v>
      </c>
      <c r="D339" s="0" t="n">
        <v>92119346</v>
      </c>
      <c r="E339" s="0" t="n">
        <v>92119346</v>
      </c>
      <c r="F339" s="0" t="s">
        <v>39</v>
      </c>
      <c r="G339" s="0" t="s">
        <v>75</v>
      </c>
      <c r="H339" s="0" t="s">
        <v>697</v>
      </c>
      <c r="I339" s="0" t="s">
        <v>678</v>
      </c>
      <c r="J339" s="0" t="s">
        <v>679</v>
      </c>
      <c r="K339" s="0" t="s">
        <v>50</v>
      </c>
      <c r="L339" s="0" t="str">
        <f aca="false">HYPERLINK("https://www.ncbi.nlm.nih.gov/snp/rs562628959", "rs562628959")</f>
        <v>rs562628959</v>
      </c>
      <c r="M339" s="0" t="str">
        <f aca="false">HYPERLINK("https://www.genecards.org/Search/Keyword?queryString=%5Baliases%5D(%20PEX1%20)&amp;keywords=PEX1", "PEX1")</f>
        <v>PEX1</v>
      </c>
      <c r="N339" s="0" t="s">
        <v>347</v>
      </c>
      <c r="O339" s="0" t="s">
        <v>50</v>
      </c>
      <c r="P339" s="0" t="s">
        <v>50</v>
      </c>
      <c r="Q339" s="0" t="n">
        <v>0.004396</v>
      </c>
      <c r="R339" s="0" t="n">
        <v>0.0041</v>
      </c>
      <c r="S339" s="0" t="n">
        <v>0.0043</v>
      </c>
      <c r="T339" s="0" t="n">
        <v>-1</v>
      </c>
      <c r="U339" s="0" t="n">
        <v>0.0027</v>
      </c>
      <c r="V339" s="0" t="s">
        <v>50</v>
      </c>
      <c r="W339" s="0" t="s">
        <v>50</v>
      </c>
      <c r="X339" s="0" t="s">
        <v>348</v>
      </c>
      <c r="Y339" s="0" t="s">
        <v>82</v>
      </c>
      <c r="Z339" s="0" t="s">
        <v>50</v>
      </c>
      <c r="AA339" s="0" t="s">
        <v>50</v>
      </c>
      <c r="AB339" s="0" t="s">
        <v>50</v>
      </c>
      <c r="AC339" s="0" t="s">
        <v>53</v>
      </c>
      <c r="AD339" s="0" t="s">
        <v>54</v>
      </c>
      <c r="AE339" s="0" t="s">
        <v>1983</v>
      </c>
      <c r="AF339" s="0" t="s">
        <v>1984</v>
      </c>
      <c r="AG339" s="0" t="s">
        <v>1985</v>
      </c>
      <c r="AH339" s="0" t="s">
        <v>1986</v>
      </c>
      <c r="AI339" s="0" t="s">
        <v>50</v>
      </c>
      <c r="AJ339" s="0" t="s">
        <v>50</v>
      </c>
      <c r="AK339" s="0" t="s">
        <v>50</v>
      </c>
      <c r="AL339" s="0" t="s">
        <v>50</v>
      </c>
    </row>
    <row r="340" customFormat="false" ht="13.8" hidden="false" customHeight="false" outlineLevel="0" collapsed="false">
      <c r="B340" s="0" t="str">
        <f aca="false">HYPERLINK("https://genome.ucsc.edu/cgi-bin/hgTracks?db=hg19&amp;position=chr7%3A99208014%2D99208014", "chr7:99208014")</f>
        <v>chr7:99208014</v>
      </c>
      <c r="C340" s="0" t="s">
        <v>269</v>
      </c>
      <c r="D340" s="0" t="n">
        <v>99208014</v>
      </c>
      <c r="E340" s="0" t="n">
        <v>99208014</v>
      </c>
      <c r="F340" s="0" t="s">
        <v>75</v>
      </c>
      <c r="G340" s="0" t="s">
        <v>74</v>
      </c>
      <c r="H340" s="0" t="s">
        <v>1987</v>
      </c>
      <c r="I340" s="0" t="s">
        <v>461</v>
      </c>
      <c r="J340" s="0" t="s">
        <v>1988</v>
      </c>
      <c r="K340" s="0" t="s">
        <v>50</v>
      </c>
      <c r="L340" s="0" t="str">
        <f aca="false">HYPERLINK("https://www.ncbi.nlm.nih.gov/snp/rs185377878", "rs185377878")</f>
        <v>rs185377878</v>
      </c>
      <c r="M340" s="0" t="str">
        <f aca="false">HYPERLINK("https://www.genecards.org/Search/Keyword?queryString=%5Baliases%5D(%20LOC100289187%20)%20OR%20%5Baliases%5D(%20TMEM225B%20)&amp;keywords=LOC100289187,TMEM225B", "LOC100289187;TMEM225B")</f>
        <v>LOC100289187;TMEM225B</v>
      </c>
      <c r="N340" s="0" t="s">
        <v>1619</v>
      </c>
      <c r="O340" s="0" t="s">
        <v>50</v>
      </c>
      <c r="P340" s="0" t="s">
        <v>1989</v>
      </c>
      <c r="Q340" s="0" t="n">
        <v>0.0055</v>
      </c>
      <c r="R340" s="0" t="n">
        <v>0.0063</v>
      </c>
      <c r="S340" s="0" t="n">
        <v>0.0058</v>
      </c>
      <c r="T340" s="0" t="n">
        <v>-1</v>
      </c>
      <c r="U340" s="0" t="n">
        <v>0.008</v>
      </c>
      <c r="V340" s="0" t="s">
        <v>50</v>
      </c>
      <c r="W340" s="0" t="s">
        <v>50</v>
      </c>
      <c r="X340" s="0" t="s">
        <v>50</v>
      </c>
      <c r="Y340" s="0" t="s">
        <v>50</v>
      </c>
      <c r="Z340" s="0" t="s">
        <v>50</v>
      </c>
      <c r="AA340" s="0" t="s">
        <v>50</v>
      </c>
      <c r="AB340" s="0" t="s">
        <v>50</v>
      </c>
      <c r="AC340" s="0" t="s">
        <v>53</v>
      </c>
      <c r="AD340" s="0" t="s">
        <v>157</v>
      </c>
      <c r="AE340" s="0" t="s">
        <v>50</v>
      </c>
      <c r="AF340" s="0" t="s">
        <v>50</v>
      </c>
      <c r="AG340" s="0" t="s">
        <v>50</v>
      </c>
      <c r="AH340" s="0" t="s">
        <v>50</v>
      </c>
      <c r="AI340" s="0" t="s">
        <v>50</v>
      </c>
      <c r="AJ340" s="0" t="s">
        <v>50</v>
      </c>
      <c r="AK340" s="0" t="s">
        <v>50</v>
      </c>
      <c r="AL340" s="0" t="s">
        <v>50</v>
      </c>
    </row>
    <row r="341" customFormat="false" ht="13.8" hidden="false" customHeight="false" outlineLevel="0" collapsed="false">
      <c r="B341" s="0" t="str">
        <f aca="false">HYPERLINK("https://genome.ucsc.edu/cgi-bin/hgTracks?db=hg19&amp;position=chr7%3A103132303%2D103132303", "chr7:103132303")</f>
        <v>chr7:103132303</v>
      </c>
      <c r="C341" s="0" t="s">
        <v>269</v>
      </c>
      <c r="D341" s="0" t="n">
        <v>103132303</v>
      </c>
      <c r="E341" s="0" t="n">
        <v>103132303</v>
      </c>
      <c r="F341" s="0" t="s">
        <v>40</v>
      </c>
      <c r="G341" s="0" t="s">
        <v>75</v>
      </c>
      <c r="H341" s="0" t="s">
        <v>1990</v>
      </c>
      <c r="I341" s="0" t="s">
        <v>678</v>
      </c>
      <c r="J341" s="0" t="s">
        <v>1162</v>
      </c>
      <c r="K341" s="0" t="s">
        <v>50</v>
      </c>
      <c r="L341" s="0" t="str">
        <f aca="false">HYPERLINK("https://www.ncbi.nlm.nih.gov/snp/rs62480386", "rs62480386")</f>
        <v>rs62480386</v>
      </c>
      <c r="M341" s="0" t="str">
        <f aca="false">HYPERLINK("https://www.genecards.org/Search/Keyword?queryString=%5Baliases%5D(%20LOC101927870%20)%20OR%20%5Baliases%5D(%20RELN%20)&amp;keywords=LOC101927870,RELN", "LOC101927870;RELN")</f>
        <v>LOC101927870;RELN</v>
      </c>
      <c r="N341" s="0" t="s">
        <v>347</v>
      </c>
      <c r="O341" s="0" t="s">
        <v>50</v>
      </c>
      <c r="P341" s="0" t="s">
        <v>50</v>
      </c>
      <c r="Q341" s="0" t="n">
        <v>0.004111</v>
      </c>
      <c r="R341" s="0" t="n">
        <v>-1</v>
      </c>
      <c r="S341" s="0" t="n">
        <v>-1</v>
      </c>
      <c r="T341" s="0" t="n">
        <v>-1</v>
      </c>
      <c r="U341" s="0" t="n">
        <v>-1</v>
      </c>
      <c r="V341" s="0" t="s">
        <v>50</v>
      </c>
      <c r="W341" s="0" t="s">
        <v>50</v>
      </c>
      <c r="X341" s="0" t="s">
        <v>348</v>
      </c>
      <c r="Y341" s="0" t="s">
        <v>82</v>
      </c>
      <c r="Z341" s="0" t="s">
        <v>50</v>
      </c>
      <c r="AA341" s="0" t="s">
        <v>50</v>
      </c>
      <c r="AB341" s="0" t="s">
        <v>50</v>
      </c>
      <c r="AC341" s="0" t="s">
        <v>53</v>
      </c>
      <c r="AD341" s="0" t="s">
        <v>157</v>
      </c>
      <c r="AE341" s="0" t="s">
        <v>1991</v>
      </c>
      <c r="AF341" s="0" t="s">
        <v>1992</v>
      </c>
      <c r="AG341" s="0" t="s">
        <v>1993</v>
      </c>
      <c r="AH341" s="0" t="s">
        <v>1994</v>
      </c>
      <c r="AI341" s="0" t="s">
        <v>50</v>
      </c>
      <c r="AJ341" s="0" t="s">
        <v>50</v>
      </c>
      <c r="AK341" s="0" t="s">
        <v>50</v>
      </c>
      <c r="AL341" s="0" t="s">
        <v>50</v>
      </c>
    </row>
    <row r="342" customFormat="false" ht="13.8" hidden="false" customHeight="false" outlineLevel="0" collapsed="false">
      <c r="B342" s="0" t="str">
        <f aca="false">HYPERLINK("https://genome.ucsc.edu/cgi-bin/hgTracks?db=hg19&amp;position=chr7%3A107738831%2D107738831", "chr7:107738831")</f>
        <v>chr7:107738831</v>
      </c>
      <c r="C342" s="0" t="s">
        <v>269</v>
      </c>
      <c r="D342" s="0" t="n">
        <v>107738831</v>
      </c>
      <c r="E342" s="0" t="n">
        <v>107738831</v>
      </c>
      <c r="F342" s="0" t="s">
        <v>39</v>
      </c>
      <c r="G342" s="0" t="s">
        <v>40</v>
      </c>
      <c r="H342" s="0" t="s">
        <v>1253</v>
      </c>
      <c r="I342" s="0" t="s">
        <v>655</v>
      </c>
      <c r="J342" s="0" t="s">
        <v>1995</v>
      </c>
      <c r="K342" s="0" t="s">
        <v>50</v>
      </c>
      <c r="L342" s="0" t="str">
        <f aca="false">HYPERLINK("https://www.ncbi.nlm.nih.gov/snp/rs769274024", "rs769274024")</f>
        <v>rs769274024</v>
      </c>
      <c r="M342" s="0" t="str">
        <f aca="false">HYPERLINK("https://www.genecards.org/Search/Keyword?queryString=%5Baliases%5D(%20LAMB4%20)&amp;keywords=LAMB4", "LAMB4")</f>
        <v>LAMB4</v>
      </c>
      <c r="N342" s="0" t="s">
        <v>80</v>
      </c>
      <c r="O342" s="0" t="s">
        <v>50</v>
      </c>
      <c r="P342" s="0" t="s">
        <v>50</v>
      </c>
      <c r="Q342" s="0" t="n">
        <v>0.0103944</v>
      </c>
      <c r="R342" s="0" t="n">
        <v>0.0002</v>
      </c>
      <c r="S342" s="0" t="n">
        <v>0.0004</v>
      </c>
      <c r="T342" s="0" t="n">
        <v>-1</v>
      </c>
      <c r="U342" s="0" t="n">
        <v>0.0004</v>
      </c>
      <c r="V342" s="0" t="s">
        <v>50</v>
      </c>
      <c r="W342" s="0" t="s">
        <v>50</v>
      </c>
      <c r="X342" s="0" t="s">
        <v>49</v>
      </c>
      <c r="Y342" s="0" t="s">
        <v>82</v>
      </c>
      <c r="Z342" s="0" t="s">
        <v>50</v>
      </c>
      <c r="AA342" s="0" t="s">
        <v>50</v>
      </c>
      <c r="AB342" s="0" t="s">
        <v>50</v>
      </c>
      <c r="AC342" s="0" t="s">
        <v>53</v>
      </c>
      <c r="AD342" s="0" t="s">
        <v>54</v>
      </c>
      <c r="AE342" s="0" t="s">
        <v>1996</v>
      </c>
      <c r="AF342" s="0" t="s">
        <v>1997</v>
      </c>
      <c r="AG342" s="0" t="s">
        <v>1998</v>
      </c>
      <c r="AH342" s="0" t="s">
        <v>50</v>
      </c>
      <c r="AI342" s="0" t="s">
        <v>50</v>
      </c>
      <c r="AJ342" s="0" t="s">
        <v>50</v>
      </c>
      <c r="AK342" s="0" t="s">
        <v>50</v>
      </c>
      <c r="AL342" s="0" t="s">
        <v>50</v>
      </c>
    </row>
    <row r="343" customFormat="false" ht="13.8" hidden="false" customHeight="false" outlineLevel="0" collapsed="false">
      <c r="B343" s="0" t="str">
        <f aca="false">HYPERLINK("https://genome.ucsc.edu/cgi-bin/hgTracks?db=hg19&amp;position=chr7%3A120764258%2D120764258", "chr7:120764258")</f>
        <v>chr7:120764258</v>
      </c>
      <c r="C343" s="0" t="s">
        <v>269</v>
      </c>
      <c r="D343" s="0" t="n">
        <v>120764258</v>
      </c>
      <c r="E343" s="0" t="n">
        <v>120764258</v>
      </c>
      <c r="F343" s="0" t="s">
        <v>74</v>
      </c>
      <c r="G343" s="0" t="s">
        <v>39</v>
      </c>
      <c r="H343" s="0" t="s">
        <v>1999</v>
      </c>
      <c r="I343" s="0" t="s">
        <v>1735</v>
      </c>
      <c r="J343" s="0" t="s">
        <v>2000</v>
      </c>
      <c r="K343" s="0" t="s">
        <v>50</v>
      </c>
      <c r="L343" s="0" t="str">
        <f aca="false">HYPERLINK("https://www.ncbi.nlm.nih.gov/snp/rs142486946", "rs142486946")</f>
        <v>rs142486946</v>
      </c>
      <c r="M343" s="0" t="str">
        <f aca="false">HYPERLINK("https://www.genecards.org/Search/Keyword?queryString=%5Baliases%5D(%20CPED1%20)&amp;keywords=CPED1", "CPED1")</f>
        <v>CPED1</v>
      </c>
      <c r="N343" s="0" t="s">
        <v>80</v>
      </c>
      <c r="O343" s="0" t="s">
        <v>50</v>
      </c>
      <c r="P343" s="0" t="s">
        <v>50</v>
      </c>
      <c r="Q343" s="0" t="n">
        <v>0.0083</v>
      </c>
      <c r="R343" s="0" t="n">
        <v>0.0076</v>
      </c>
      <c r="S343" s="0" t="n">
        <v>0.0073</v>
      </c>
      <c r="T343" s="0" t="n">
        <v>-1</v>
      </c>
      <c r="U343" s="0" t="n">
        <v>0.0085</v>
      </c>
      <c r="V343" s="0" t="s">
        <v>50</v>
      </c>
      <c r="W343" s="0" t="s">
        <v>50</v>
      </c>
      <c r="X343" s="0" t="s">
        <v>81</v>
      </c>
      <c r="Y343" s="0" t="s">
        <v>82</v>
      </c>
      <c r="Z343" s="0" t="s">
        <v>50</v>
      </c>
      <c r="AA343" s="0" t="s">
        <v>50</v>
      </c>
      <c r="AB343" s="0" t="s">
        <v>50</v>
      </c>
      <c r="AC343" s="0" t="s">
        <v>53</v>
      </c>
      <c r="AD343" s="0" t="s">
        <v>54</v>
      </c>
      <c r="AE343" s="0" t="s">
        <v>2001</v>
      </c>
      <c r="AF343" s="0" t="s">
        <v>2002</v>
      </c>
      <c r="AG343" s="0" t="s">
        <v>50</v>
      </c>
      <c r="AH343" s="0" t="s">
        <v>50</v>
      </c>
      <c r="AI343" s="0" t="s">
        <v>50</v>
      </c>
      <c r="AJ343" s="0" t="s">
        <v>50</v>
      </c>
      <c r="AK343" s="0" t="s">
        <v>50</v>
      </c>
      <c r="AL343" s="0" t="s">
        <v>50</v>
      </c>
    </row>
    <row r="344" customFormat="false" ht="13.8" hidden="false" customHeight="false" outlineLevel="0" collapsed="false">
      <c r="B344" s="0" t="str">
        <f aca="false">HYPERLINK("https://genome.ucsc.edu/cgi-bin/hgTracks?db=hg19&amp;position=chr7%3A126542798%2D126542798", "chr7:126542798")</f>
        <v>chr7:126542798</v>
      </c>
      <c r="C344" s="0" t="s">
        <v>269</v>
      </c>
      <c r="D344" s="0" t="n">
        <v>126542798</v>
      </c>
      <c r="E344" s="0" t="n">
        <v>126542798</v>
      </c>
      <c r="F344" s="0" t="s">
        <v>74</v>
      </c>
      <c r="G344" s="0" t="s">
        <v>40</v>
      </c>
      <c r="H344" s="0" t="s">
        <v>2003</v>
      </c>
      <c r="I344" s="0" t="s">
        <v>128</v>
      </c>
      <c r="J344" s="0" t="s">
        <v>1896</v>
      </c>
      <c r="K344" s="0" t="s">
        <v>50</v>
      </c>
      <c r="L344" s="0" t="str">
        <f aca="false">HYPERLINK("https://www.ncbi.nlm.nih.gov/snp/rs13309429", "rs13309429")</f>
        <v>rs13309429</v>
      </c>
      <c r="M344" s="0" t="str">
        <f aca="false">HYPERLINK("https://www.genecards.org/Search/Keyword?queryString=%5Baliases%5D(%20GRM8%20)&amp;keywords=GRM8", "GRM8")</f>
        <v>GRM8</v>
      </c>
      <c r="N344" s="0" t="s">
        <v>80</v>
      </c>
      <c r="O344" s="0" t="s">
        <v>50</v>
      </c>
      <c r="P344" s="0" t="s">
        <v>50</v>
      </c>
      <c r="Q344" s="0" t="n">
        <v>0.006</v>
      </c>
      <c r="R344" s="0" t="n">
        <v>0.0035</v>
      </c>
      <c r="S344" s="0" t="n">
        <v>0.0036</v>
      </c>
      <c r="T344" s="0" t="n">
        <v>-1</v>
      </c>
      <c r="U344" s="0" t="n">
        <v>0.0034</v>
      </c>
      <c r="V344" s="0" t="s">
        <v>50</v>
      </c>
      <c r="W344" s="0" t="s">
        <v>50</v>
      </c>
      <c r="X344" s="0" t="s">
        <v>49</v>
      </c>
      <c r="Y344" s="0" t="s">
        <v>82</v>
      </c>
      <c r="Z344" s="0" t="s">
        <v>50</v>
      </c>
      <c r="AA344" s="0" t="s">
        <v>50</v>
      </c>
      <c r="AB344" s="0" t="s">
        <v>50</v>
      </c>
      <c r="AC344" s="0" t="s">
        <v>53</v>
      </c>
      <c r="AD344" s="0" t="s">
        <v>54</v>
      </c>
      <c r="AE344" s="0" t="s">
        <v>2004</v>
      </c>
      <c r="AF344" s="0" t="s">
        <v>2005</v>
      </c>
      <c r="AG344" s="0" t="s">
        <v>2006</v>
      </c>
      <c r="AH344" s="0" t="s">
        <v>50</v>
      </c>
      <c r="AI344" s="0" t="s">
        <v>50</v>
      </c>
      <c r="AJ344" s="0" t="s">
        <v>50</v>
      </c>
      <c r="AK344" s="0" t="s">
        <v>50</v>
      </c>
      <c r="AL344" s="0" t="s">
        <v>474</v>
      </c>
    </row>
    <row r="345" s="2" customFormat="true" ht="13.8" hidden="false" customHeight="false" outlineLevel="0" collapsed="false">
      <c r="B345" s="2" t="str">
        <f aca="false">HYPERLINK("https://genome.ucsc.edu/cgi-bin/hgTracks?db=hg19&amp;position=chr7%3A142028606%2D142028606", "chr7:142028606")</f>
        <v>chr7:142028606</v>
      </c>
      <c r="C345" s="2" t="s">
        <v>269</v>
      </c>
      <c r="D345" s="2" t="n">
        <v>142028606</v>
      </c>
      <c r="E345" s="2" t="n">
        <v>142028606</v>
      </c>
      <c r="F345" s="2" t="s">
        <v>74</v>
      </c>
      <c r="G345" s="2" t="s">
        <v>40</v>
      </c>
      <c r="H345" s="2" t="s">
        <v>2007</v>
      </c>
      <c r="I345" s="2" t="s">
        <v>2008</v>
      </c>
      <c r="J345" s="2" t="s">
        <v>2009</v>
      </c>
      <c r="K345" s="2" t="s">
        <v>50</v>
      </c>
      <c r="L345" s="2" t="str">
        <f aca="false">HYPERLINK("https://www.ncbi.nlm.nih.gov/snp/rs374885376", "rs374885376")</f>
        <v>rs374885376</v>
      </c>
      <c r="M345" s="2" t="str">
        <f aca="false">HYPERLINK("https://www.genecards.org/Search/Keyword?queryString=%5Baliases%5D(%20T-cellreceptorIGRb14Vbeta13%20)&amp;keywords=T-cellreceptorIGRb14Vbeta13", "T-cellreceptorIGRb14Vbeta13")</f>
        <v>T-cellreceptorIGRb14Vbeta13</v>
      </c>
      <c r="N345" s="2" t="s">
        <v>2010</v>
      </c>
      <c r="O345" s="2" t="s">
        <v>93</v>
      </c>
      <c r="P345" s="2" t="s">
        <v>2011</v>
      </c>
      <c r="Q345" s="2" t="n">
        <v>0.0269</v>
      </c>
      <c r="R345" s="2" t="n">
        <v>0.0011</v>
      </c>
      <c r="S345" s="2" t="n">
        <v>0.0014</v>
      </c>
      <c r="T345" s="2" t="n">
        <v>-1</v>
      </c>
      <c r="U345" s="2" t="n">
        <v>0.0014</v>
      </c>
      <c r="V345" s="2" t="s">
        <v>50</v>
      </c>
      <c r="W345" s="2" t="s">
        <v>50</v>
      </c>
      <c r="X345" s="2" t="s">
        <v>50</v>
      </c>
      <c r="Y345" s="2" t="s">
        <v>50</v>
      </c>
      <c r="Z345" s="2" t="s">
        <v>50</v>
      </c>
      <c r="AA345" s="2" t="s">
        <v>50</v>
      </c>
      <c r="AB345" s="2" t="s">
        <v>50</v>
      </c>
      <c r="AC345" s="2" t="s">
        <v>53</v>
      </c>
      <c r="AD345" s="2" t="s">
        <v>54</v>
      </c>
      <c r="AE345" s="2" t="s">
        <v>50</v>
      </c>
      <c r="AF345" s="2" t="s">
        <v>50</v>
      </c>
      <c r="AG345" s="2" t="s">
        <v>50</v>
      </c>
      <c r="AH345" s="2" t="s">
        <v>50</v>
      </c>
      <c r="AI345" s="2" t="s">
        <v>50</v>
      </c>
      <c r="AJ345" s="2" t="s">
        <v>50</v>
      </c>
      <c r="AK345" s="2" t="s">
        <v>50</v>
      </c>
      <c r="AL345" s="2" t="s">
        <v>50</v>
      </c>
    </row>
    <row r="346" customFormat="false" ht="13.8" hidden="false" customHeight="false" outlineLevel="0" collapsed="false">
      <c r="B346" s="0" t="str">
        <f aca="false">HYPERLINK("https://genome.ucsc.edu/cgi-bin/hgTracks?db=hg19&amp;position=chr7%3A142458340%2D142458340", "chr7:142458340")</f>
        <v>chr7:142458340</v>
      </c>
      <c r="C346" s="0" t="s">
        <v>269</v>
      </c>
      <c r="D346" s="0" t="n">
        <v>142458340</v>
      </c>
      <c r="E346" s="0" t="n">
        <v>142458340</v>
      </c>
      <c r="F346" s="0" t="s">
        <v>75</v>
      </c>
      <c r="G346" s="0" t="s">
        <v>74</v>
      </c>
      <c r="H346" s="0" t="s">
        <v>2012</v>
      </c>
      <c r="I346" s="0" t="s">
        <v>662</v>
      </c>
      <c r="J346" s="0" t="s">
        <v>2013</v>
      </c>
      <c r="K346" s="0" t="s">
        <v>50</v>
      </c>
      <c r="L346" s="0" t="s">
        <v>50</v>
      </c>
      <c r="M346" s="0" t="str">
        <f aca="false">HYPERLINK("https://www.genecards.org/Search/Keyword?queryString=%5Baliases%5D(%20PRSS1%20)%20OR%20%5Baliases%5D(%20TCRVB%20)&amp;keywords=PRSS1,TCRVB", "PRSS1;TCRVB")</f>
        <v>PRSS1;TCRVB</v>
      </c>
      <c r="N346" s="0" t="s">
        <v>347</v>
      </c>
      <c r="O346" s="0" t="s">
        <v>50</v>
      </c>
      <c r="P346" s="0" t="s">
        <v>50</v>
      </c>
      <c r="Q346" s="0" t="n">
        <v>0.014184</v>
      </c>
      <c r="R346" s="0" t="n">
        <v>0.0001</v>
      </c>
      <c r="S346" s="0" t="n">
        <v>7.659E-005</v>
      </c>
      <c r="T346" s="0" t="n">
        <v>-1</v>
      </c>
      <c r="U346" s="0" t="n">
        <v>-1</v>
      </c>
      <c r="V346" s="0" t="s">
        <v>50</v>
      </c>
      <c r="W346" s="0" t="s">
        <v>50</v>
      </c>
      <c r="X346" s="0" t="s">
        <v>348</v>
      </c>
      <c r="Y346" s="0" t="s">
        <v>82</v>
      </c>
      <c r="Z346" s="0" t="s">
        <v>50</v>
      </c>
      <c r="AA346" s="0" t="s">
        <v>50</v>
      </c>
      <c r="AB346" s="0" t="s">
        <v>50</v>
      </c>
      <c r="AC346" s="0" t="s">
        <v>53</v>
      </c>
      <c r="AD346" s="0" t="s">
        <v>2014</v>
      </c>
      <c r="AE346" s="0" t="s">
        <v>2015</v>
      </c>
      <c r="AF346" s="0" t="s">
        <v>2016</v>
      </c>
      <c r="AG346" s="0" t="s">
        <v>2017</v>
      </c>
      <c r="AH346" s="0" t="s">
        <v>2018</v>
      </c>
      <c r="AI346" s="0" t="s">
        <v>50</v>
      </c>
      <c r="AJ346" s="0" t="s">
        <v>50</v>
      </c>
      <c r="AK346" s="0" t="s">
        <v>50</v>
      </c>
      <c r="AL346" s="0" t="s">
        <v>50</v>
      </c>
    </row>
    <row r="347" customFormat="false" ht="13.8" hidden="false" customHeight="false" outlineLevel="0" collapsed="false">
      <c r="B347" s="0" t="str">
        <f aca="false">HYPERLINK("https://genome.ucsc.edu/cgi-bin/hgTracks?db=hg19&amp;position=chr7%3A142458352%2D142458352", "chr7:142458352")</f>
        <v>chr7:142458352</v>
      </c>
      <c r="C347" s="0" t="s">
        <v>269</v>
      </c>
      <c r="D347" s="0" t="n">
        <v>142458352</v>
      </c>
      <c r="E347" s="0" t="n">
        <v>142458352</v>
      </c>
      <c r="F347" s="0" t="s">
        <v>39</v>
      </c>
      <c r="G347" s="0" t="s">
        <v>75</v>
      </c>
      <c r="H347" s="0" t="s">
        <v>677</v>
      </c>
      <c r="I347" s="0" t="s">
        <v>2019</v>
      </c>
      <c r="J347" s="0" t="s">
        <v>2020</v>
      </c>
      <c r="K347" s="0" t="s">
        <v>50</v>
      </c>
      <c r="L347" s="0" t="s">
        <v>50</v>
      </c>
      <c r="M347" s="0" t="str">
        <f aca="false">HYPERLINK("https://www.genecards.org/Search/Keyword?queryString=%5Baliases%5D(%20PRSS1%20)%20OR%20%5Baliases%5D(%20TCRVB%20)&amp;keywords=PRSS1,TCRVB", "PRSS1;TCRVB")</f>
        <v>PRSS1;TCRVB</v>
      </c>
      <c r="N347" s="0" t="s">
        <v>347</v>
      </c>
      <c r="O347" s="0" t="s">
        <v>50</v>
      </c>
      <c r="P347" s="0" t="s">
        <v>50</v>
      </c>
      <c r="Q347" s="0" t="n">
        <v>0.0194</v>
      </c>
      <c r="R347" s="0" t="n">
        <v>0.0011</v>
      </c>
      <c r="S347" s="0" t="n">
        <v>0.0014</v>
      </c>
      <c r="T347" s="0" t="n">
        <v>-1</v>
      </c>
      <c r="U347" s="0" t="n">
        <v>0.0014</v>
      </c>
      <c r="V347" s="0" t="s">
        <v>50</v>
      </c>
      <c r="W347" s="0" t="s">
        <v>50</v>
      </c>
      <c r="X347" s="0" t="s">
        <v>348</v>
      </c>
      <c r="Y347" s="0" t="s">
        <v>82</v>
      </c>
      <c r="Z347" s="0" t="s">
        <v>50</v>
      </c>
      <c r="AA347" s="0" t="s">
        <v>50</v>
      </c>
      <c r="AB347" s="0" t="s">
        <v>50</v>
      </c>
      <c r="AC347" s="0" t="s">
        <v>53</v>
      </c>
      <c r="AD347" s="0" t="s">
        <v>2014</v>
      </c>
      <c r="AE347" s="0" t="s">
        <v>2015</v>
      </c>
      <c r="AF347" s="0" t="s">
        <v>2016</v>
      </c>
      <c r="AG347" s="0" t="s">
        <v>2017</v>
      </c>
      <c r="AH347" s="0" t="s">
        <v>2018</v>
      </c>
      <c r="AI347" s="0" t="s">
        <v>50</v>
      </c>
      <c r="AJ347" s="0" t="s">
        <v>50</v>
      </c>
      <c r="AK347" s="0" t="s">
        <v>50</v>
      </c>
      <c r="AL347" s="0" t="s">
        <v>474</v>
      </c>
    </row>
    <row r="348" customFormat="false" ht="13.8" hidden="false" customHeight="false" outlineLevel="0" collapsed="false">
      <c r="B348" s="0" t="str">
        <f aca="false">HYPERLINK("https://genome.ucsc.edu/cgi-bin/hgTracks?db=hg19&amp;position=chr7%3A142460045%2D142460045", "chr7:142460045")</f>
        <v>chr7:142460045</v>
      </c>
      <c r="C348" s="0" t="s">
        <v>269</v>
      </c>
      <c r="D348" s="0" t="n">
        <v>142460045</v>
      </c>
      <c r="E348" s="0" t="n">
        <v>142460045</v>
      </c>
      <c r="F348" s="0" t="s">
        <v>39</v>
      </c>
      <c r="G348" s="0" t="s">
        <v>40</v>
      </c>
      <c r="H348" s="0" t="s">
        <v>2021</v>
      </c>
      <c r="I348" s="0" t="s">
        <v>1420</v>
      </c>
      <c r="J348" s="0" t="s">
        <v>2022</v>
      </c>
      <c r="K348" s="0" t="s">
        <v>50</v>
      </c>
      <c r="L348" s="0" t="str">
        <f aca="false">HYPERLINK("https://www.ncbi.nlm.nih.gov/snp/rs367991574", "rs367991574")</f>
        <v>rs367991574</v>
      </c>
      <c r="M348" s="0" t="str">
        <f aca="false">HYPERLINK("https://www.genecards.org/Search/Keyword?queryString=%5Baliases%5D(%20PRSS1%20)%20OR%20%5Baliases%5D(%20TCRVB%20)&amp;keywords=PRSS1,TCRVB", "PRSS1;TCRVB")</f>
        <v>PRSS1;TCRVB</v>
      </c>
      <c r="N348" s="0" t="s">
        <v>347</v>
      </c>
      <c r="O348" s="0" t="s">
        <v>50</v>
      </c>
      <c r="P348" s="0" t="s">
        <v>50</v>
      </c>
      <c r="Q348" s="0" t="n">
        <v>0.000461</v>
      </c>
      <c r="R348" s="0" t="n">
        <v>-1</v>
      </c>
      <c r="S348" s="0" t="n">
        <v>-1</v>
      </c>
      <c r="T348" s="0" t="n">
        <v>-1</v>
      </c>
      <c r="U348" s="0" t="n">
        <v>-1</v>
      </c>
      <c r="V348" s="0" t="s">
        <v>50</v>
      </c>
      <c r="W348" s="0" t="s">
        <v>50</v>
      </c>
      <c r="X348" s="0" t="s">
        <v>348</v>
      </c>
      <c r="Y348" s="0" t="s">
        <v>82</v>
      </c>
      <c r="Z348" s="0" t="s">
        <v>50</v>
      </c>
      <c r="AA348" s="0" t="s">
        <v>50</v>
      </c>
      <c r="AB348" s="0" t="s">
        <v>50</v>
      </c>
      <c r="AC348" s="0" t="s">
        <v>53</v>
      </c>
      <c r="AD348" s="0" t="s">
        <v>2014</v>
      </c>
      <c r="AE348" s="0" t="s">
        <v>2015</v>
      </c>
      <c r="AF348" s="0" t="s">
        <v>2016</v>
      </c>
      <c r="AG348" s="0" t="s">
        <v>2017</v>
      </c>
      <c r="AH348" s="0" t="s">
        <v>2018</v>
      </c>
      <c r="AI348" s="0" t="s">
        <v>50</v>
      </c>
      <c r="AJ348" s="0" t="s">
        <v>50</v>
      </c>
      <c r="AK348" s="0" t="s">
        <v>50</v>
      </c>
      <c r="AL348" s="0" t="s">
        <v>50</v>
      </c>
    </row>
    <row r="349" customFormat="false" ht="13.8" hidden="false" customHeight="false" outlineLevel="0" collapsed="false">
      <c r="B349" s="0" t="str">
        <f aca="false">HYPERLINK("https://genome.ucsc.edu/cgi-bin/hgTracks?db=hg19&amp;position=chr7%3A142460046%2D142460046", "chr7:142460046")</f>
        <v>chr7:142460046</v>
      </c>
      <c r="C349" s="0" t="s">
        <v>269</v>
      </c>
      <c r="D349" s="0" t="n">
        <v>142460046</v>
      </c>
      <c r="E349" s="0" t="n">
        <v>142460046</v>
      </c>
      <c r="F349" s="0" t="s">
        <v>40</v>
      </c>
      <c r="G349" s="0" t="s">
        <v>74</v>
      </c>
      <c r="H349" s="0" t="s">
        <v>760</v>
      </c>
      <c r="I349" s="0" t="s">
        <v>77</v>
      </c>
      <c r="J349" s="0" t="s">
        <v>2023</v>
      </c>
      <c r="K349" s="0" t="s">
        <v>50</v>
      </c>
      <c r="L349" s="0" t="str">
        <f aca="false">HYPERLINK("https://www.ncbi.nlm.nih.gov/snp/rs371778638", "rs371778638")</f>
        <v>rs371778638</v>
      </c>
      <c r="M349" s="0" t="str">
        <f aca="false">HYPERLINK("https://www.genecards.org/Search/Keyword?queryString=%5Baliases%5D(%20PRSS1%20)%20OR%20%5Baliases%5D(%20TCRVB%20)&amp;keywords=PRSS1,TCRVB", "PRSS1;TCRVB")</f>
        <v>PRSS1;TCRVB</v>
      </c>
      <c r="N349" s="0" t="s">
        <v>347</v>
      </c>
      <c r="O349" s="0" t="s">
        <v>50</v>
      </c>
      <c r="P349" s="0" t="s">
        <v>50</v>
      </c>
      <c r="Q349" s="0" t="n">
        <v>0.0004226</v>
      </c>
      <c r="R349" s="0" t="n">
        <v>-1</v>
      </c>
      <c r="S349" s="0" t="n">
        <v>-1</v>
      </c>
      <c r="T349" s="0" t="n">
        <v>-1</v>
      </c>
      <c r="U349" s="0" t="n">
        <v>-1</v>
      </c>
      <c r="V349" s="0" t="s">
        <v>50</v>
      </c>
      <c r="W349" s="0" t="s">
        <v>50</v>
      </c>
      <c r="X349" s="0" t="s">
        <v>348</v>
      </c>
      <c r="Y349" s="0" t="s">
        <v>82</v>
      </c>
      <c r="Z349" s="0" t="s">
        <v>50</v>
      </c>
      <c r="AA349" s="0" t="s">
        <v>50</v>
      </c>
      <c r="AB349" s="0" t="s">
        <v>50</v>
      </c>
      <c r="AC349" s="0" t="s">
        <v>53</v>
      </c>
      <c r="AD349" s="0" t="s">
        <v>2014</v>
      </c>
      <c r="AE349" s="0" t="s">
        <v>2015</v>
      </c>
      <c r="AF349" s="0" t="s">
        <v>2016</v>
      </c>
      <c r="AG349" s="0" t="s">
        <v>2017</v>
      </c>
      <c r="AH349" s="0" t="s">
        <v>2018</v>
      </c>
      <c r="AI349" s="0" t="s">
        <v>50</v>
      </c>
      <c r="AJ349" s="0" t="s">
        <v>50</v>
      </c>
      <c r="AK349" s="0" t="s">
        <v>50</v>
      </c>
      <c r="AL349" s="0" t="s">
        <v>50</v>
      </c>
    </row>
    <row r="350" customFormat="false" ht="13.8" hidden="false" customHeight="false" outlineLevel="0" collapsed="false">
      <c r="B350" s="0" t="str">
        <f aca="false">HYPERLINK("https://genome.ucsc.edu/cgi-bin/hgTracks?db=hg19&amp;position=chr7%3A142460255%2D142460255", "chr7:142460255")</f>
        <v>chr7:142460255</v>
      </c>
      <c r="C350" s="0" t="s">
        <v>269</v>
      </c>
      <c r="D350" s="0" t="n">
        <v>142460255</v>
      </c>
      <c r="E350" s="0" t="n">
        <v>142460255</v>
      </c>
      <c r="F350" s="0" t="s">
        <v>39</v>
      </c>
      <c r="G350" s="0" t="s">
        <v>308</v>
      </c>
      <c r="H350" s="0" t="s">
        <v>2024</v>
      </c>
      <c r="I350" s="0" t="s">
        <v>151</v>
      </c>
      <c r="J350" s="0" t="s">
        <v>2025</v>
      </c>
      <c r="K350" s="0" t="s">
        <v>50</v>
      </c>
      <c r="L350" s="0" t="str">
        <f aca="false">HYPERLINK("https://www.ncbi.nlm.nih.gov/snp/rs376880201", "rs376880201")</f>
        <v>rs376880201</v>
      </c>
      <c r="M350" s="0" t="str">
        <f aca="false">HYPERLINK("https://www.genecards.org/Search/Keyword?queryString=%5Baliases%5D(%20PRSS1%20)%20OR%20%5Baliases%5D(%20TCRVB%20)&amp;keywords=PRSS1,TCRVB", "PRSS1;TCRVB")</f>
        <v>PRSS1;TCRVB</v>
      </c>
      <c r="N350" s="0" t="s">
        <v>347</v>
      </c>
      <c r="O350" s="0" t="s">
        <v>50</v>
      </c>
      <c r="P350" s="0" t="s">
        <v>50</v>
      </c>
      <c r="Q350" s="0" t="n">
        <v>0.0051</v>
      </c>
      <c r="R350" s="0" t="n">
        <v>0.0053</v>
      </c>
      <c r="S350" s="0" t="n">
        <v>0.0051</v>
      </c>
      <c r="T350" s="0" t="n">
        <v>-1</v>
      </c>
      <c r="U350" s="0" t="n">
        <v>0.0033</v>
      </c>
      <c r="V350" s="0" t="s">
        <v>50</v>
      </c>
      <c r="W350" s="0" t="s">
        <v>50</v>
      </c>
      <c r="X350" s="0" t="s">
        <v>50</v>
      </c>
      <c r="Y350" s="0" t="s">
        <v>50</v>
      </c>
      <c r="Z350" s="0" t="s">
        <v>50</v>
      </c>
      <c r="AA350" s="0" t="s">
        <v>50</v>
      </c>
      <c r="AB350" s="0" t="s">
        <v>50</v>
      </c>
      <c r="AC350" s="0" t="s">
        <v>53</v>
      </c>
      <c r="AD350" s="0" t="s">
        <v>2014</v>
      </c>
      <c r="AE350" s="0" t="s">
        <v>2015</v>
      </c>
      <c r="AF350" s="0" t="s">
        <v>2016</v>
      </c>
      <c r="AG350" s="0" t="s">
        <v>2017</v>
      </c>
      <c r="AH350" s="0" t="s">
        <v>2018</v>
      </c>
      <c r="AI350" s="0" t="s">
        <v>50</v>
      </c>
      <c r="AJ350" s="0" t="s">
        <v>50</v>
      </c>
      <c r="AK350" s="0" t="s">
        <v>50</v>
      </c>
      <c r="AL350" s="0" t="s">
        <v>50</v>
      </c>
    </row>
    <row r="351" customFormat="false" ht="13.8" hidden="false" customHeight="false" outlineLevel="0" collapsed="false">
      <c r="B351" s="0" t="str">
        <f aca="false">HYPERLINK("https://genome.ucsc.edu/cgi-bin/hgTracks?db=hg19&amp;position=chr7%3A142460614%2D142460614", "chr7:142460614")</f>
        <v>chr7:142460614</v>
      </c>
      <c r="C351" s="0" t="s">
        <v>269</v>
      </c>
      <c r="D351" s="0" t="n">
        <v>142460614</v>
      </c>
      <c r="E351" s="0" t="n">
        <v>142460614</v>
      </c>
      <c r="F351" s="0" t="s">
        <v>75</v>
      </c>
      <c r="G351" s="0" t="s">
        <v>74</v>
      </c>
      <c r="H351" s="0" t="s">
        <v>2026</v>
      </c>
      <c r="I351" s="0" t="s">
        <v>590</v>
      </c>
      <c r="J351" s="0" t="s">
        <v>2027</v>
      </c>
      <c r="K351" s="0" t="s">
        <v>50</v>
      </c>
      <c r="L351" s="0" t="str">
        <f aca="false">HYPERLINK("https://www.ncbi.nlm.nih.gov/snp/rs373440695", "rs373440695")</f>
        <v>rs373440695</v>
      </c>
      <c r="M351" s="0" t="str">
        <f aca="false">HYPERLINK("https://www.genecards.org/Search/Keyword?queryString=%5Baliases%5D(%20PRSS1%20)%20OR%20%5Baliases%5D(%20TCRVB%20)&amp;keywords=PRSS1,TCRVB", "PRSS1;TCRVB")</f>
        <v>PRSS1;TCRVB</v>
      </c>
      <c r="N351" s="0" t="s">
        <v>347</v>
      </c>
      <c r="O351" s="0" t="s">
        <v>50</v>
      </c>
      <c r="P351" s="0" t="s">
        <v>50</v>
      </c>
      <c r="Q351" s="0" t="n">
        <v>0.026273</v>
      </c>
      <c r="R351" s="0" t="n">
        <v>-1</v>
      </c>
      <c r="S351" s="0" t="n">
        <v>-1</v>
      </c>
      <c r="T351" s="0" t="n">
        <v>-1</v>
      </c>
      <c r="U351" s="0" t="n">
        <v>-1</v>
      </c>
      <c r="V351" s="0" t="s">
        <v>50</v>
      </c>
      <c r="W351" s="0" t="s">
        <v>50</v>
      </c>
      <c r="X351" s="0" t="s">
        <v>348</v>
      </c>
      <c r="Y351" s="0" t="s">
        <v>82</v>
      </c>
      <c r="Z351" s="0" t="s">
        <v>50</v>
      </c>
      <c r="AA351" s="0" t="s">
        <v>50</v>
      </c>
      <c r="AB351" s="0" t="s">
        <v>50</v>
      </c>
      <c r="AC351" s="0" t="s">
        <v>53</v>
      </c>
      <c r="AD351" s="0" t="s">
        <v>2014</v>
      </c>
      <c r="AE351" s="0" t="s">
        <v>2015</v>
      </c>
      <c r="AF351" s="0" t="s">
        <v>2016</v>
      </c>
      <c r="AG351" s="0" t="s">
        <v>2017</v>
      </c>
      <c r="AH351" s="0" t="s">
        <v>2018</v>
      </c>
      <c r="AI351" s="0" t="s">
        <v>50</v>
      </c>
      <c r="AJ351" s="0" t="s">
        <v>50</v>
      </c>
      <c r="AK351" s="0" t="s">
        <v>50</v>
      </c>
      <c r="AL351" s="0" t="s">
        <v>50</v>
      </c>
    </row>
    <row r="352" customFormat="false" ht="13.8" hidden="false" customHeight="false" outlineLevel="0" collapsed="false">
      <c r="B352" s="0" t="str">
        <f aca="false">HYPERLINK("https://genome.ucsc.edu/cgi-bin/hgTracks?db=hg19&amp;position=chr7%3A142460642%2D142460642", "chr7:142460642")</f>
        <v>chr7:142460642</v>
      </c>
      <c r="C352" s="0" t="s">
        <v>269</v>
      </c>
      <c r="D352" s="0" t="n">
        <v>142460642</v>
      </c>
      <c r="E352" s="0" t="n">
        <v>142460642</v>
      </c>
      <c r="F352" s="0" t="s">
        <v>74</v>
      </c>
      <c r="G352" s="0" t="s">
        <v>39</v>
      </c>
      <c r="H352" s="0" t="s">
        <v>2028</v>
      </c>
      <c r="I352" s="0" t="s">
        <v>655</v>
      </c>
      <c r="J352" s="0" t="s">
        <v>2029</v>
      </c>
      <c r="K352" s="0" t="s">
        <v>50</v>
      </c>
      <c r="L352" s="0" t="str">
        <f aca="false">HYPERLINK("https://www.ncbi.nlm.nih.gov/snp/rs373536377", "rs373536377")</f>
        <v>rs373536377</v>
      </c>
      <c r="M352" s="0" t="str">
        <f aca="false">HYPERLINK("https://www.genecards.org/Search/Keyword?queryString=%5Baliases%5D(%20PRSS1%20)%20OR%20%5Baliases%5D(%20TCRVB%20)&amp;keywords=PRSS1,TCRVB", "PRSS1;TCRVB")</f>
        <v>PRSS1;TCRVB</v>
      </c>
      <c r="N352" s="0" t="s">
        <v>347</v>
      </c>
      <c r="O352" s="0" t="s">
        <v>50</v>
      </c>
      <c r="P352" s="0" t="s">
        <v>50</v>
      </c>
      <c r="Q352" s="0" t="n">
        <v>0.0022668</v>
      </c>
      <c r="R352" s="0" t="n">
        <v>-1</v>
      </c>
      <c r="S352" s="0" t="n">
        <v>-1</v>
      </c>
      <c r="T352" s="0" t="n">
        <v>-1</v>
      </c>
      <c r="U352" s="0" t="n">
        <v>-1</v>
      </c>
      <c r="V352" s="0" t="s">
        <v>50</v>
      </c>
      <c r="W352" s="0" t="s">
        <v>50</v>
      </c>
      <c r="X352" s="0" t="s">
        <v>348</v>
      </c>
      <c r="Y352" s="0" t="s">
        <v>82</v>
      </c>
      <c r="Z352" s="0" t="s">
        <v>50</v>
      </c>
      <c r="AA352" s="0" t="s">
        <v>50</v>
      </c>
      <c r="AB352" s="0" t="s">
        <v>50</v>
      </c>
      <c r="AC352" s="0" t="s">
        <v>53</v>
      </c>
      <c r="AD352" s="0" t="s">
        <v>2014</v>
      </c>
      <c r="AE352" s="0" t="s">
        <v>2015</v>
      </c>
      <c r="AF352" s="0" t="s">
        <v>2016</v>
      </c>
      <c r="AG352" s="0" t="s">
        <v>2017</v>
      </c>
      <c r="AH352" s="0" t="s">
        <v>2018</v>
      </c>
      <c r="AI352" s="0" t="s">
        <v>632</v>
      </c>
      <c r="AJ352" s="0" t="s">
        <v>50</v>
      </c>
      <c r="AK352" s="0" t="s">
        <v>50</v>
      </c>
      <c r="AL352" s="0" t="s">
        <v>50</v>
      </c>
    </row>
    <row r="353" customFormat="false" ht="13.8" hidden="false" customHeight="false" outlineLevel="0" collapsed="false">
      <c r="B353" s="0" t="str">
        <f aca="false">HYPERLINK("https://genome.ucsc.edu/cgi-bin/hgTracks?db=hg19&amp;position=chr7%3A142460660%2D142460660", "chr7:142460660")</f>
        <v>chr7:142460660</v>
      </c>
      <c r="C353" s="0" t="s">
        <v>269</v>
      </c>
      <c r="D353" s="0" t="n">
        <v>142460660</v>
      </c>
      <c r="E353" s="0" t="n">
        <v>142460660</v>
      </c>
      <c r="F353" s="0" t="s">
        <v>40</v>
      </c>
      <c r="G353" s="0" t="s">
        <v>39</v>
      </c>
      <c r="H353" s="0" t="s">
        <v>2030</v>
      </c>
      <c r="I353" s="0" t="s">
        <v>461</v>
      </c>
      <c r="J353" s="0" t="s">
        <v>2031</v>
      </c>
      <c r="K353" s="0" t="s">
        <v>50</v>
      </c>
      <c r="L353" s="0" t="str">
        <f aca="false">HYPERLINK("https://www.ncbi.nlm.nih.gov/snp/rs796239652", "rs796239652")</f>
        <v>rs796239652</v>
      </c>
      <c r="M353" s="0" t="str">
        <f aca="false">HYPERLINK("https://www.genecards.org/Search/Keyword?queryString=%5Baliases%5D(%20PRSS1%20)%20OR%20%5Baliases%5D(%20TCRVB%20)&amp;keywords=PRSS1,TCRVB", "PRSS1;TCRVB")</f>
        <v>PRSS1;TCRVB</v>
      </c>
      <c r="N353" s="0" t="s">
        <v>347</v>
      </c>
      <c r="O353" s="0" t="s">
        <v>50</v>
      </c>
      <c r="P353" s="0" t="s">
        <v>50</v>
      </c>
      <c r="Q353" s="0" t="n">
        <v>0.0004226</v>
      </c>
      <c r="R353" s="0" t="n">
        <v>-1</v>
      </c>
      <c r="S353" s="0" t="n">
        <v>-1</v>
      </c>
      <c r="T353" s="0" t="n">
        <v>-1</v>
      </c>
      <c r="U353" s="0" t="n">
        <v>-1</v>
      </c>
      <c r="V353" s="0" t="s">
        <v>50</v>
      </c>
      <c r="W353" s="0" t="s">
        <v>50</v>
      </c>
      <c r="X353" s="0" t="s">
        <v>348</v>
      </c>
      <c r="Y353" s="0" t="s">
        <v>82</v>
      </c>
      <c r="Z353" s="0" t="s">
        <v>50</v>
      </c>
      <c r="AA353" s="0" t="s">
        <v>50</v>
      </c>
      <c r="AB353" s="0" t="s">
        <v>50</v>
      </c>
      <c r="AC353" s="0" t="s">
        <v>53</v>
      </c>
      <c r="AD353" s="0" t="s">
        <v>2014</v>
      </c>
      <c r="AE353" s="0" t="s">
        <v>2015</v>
      </c>
      <c r="AF353" s="0" t="s">
        <v>2016</v>
      </c>
      <c r="AG353" s="0" t="s">
        <v>2017</v>
      </c>
      <c r="AH353" s="0" t="s">
        <v>2018</v>
      </c>
      <c r="AI353" s="0" t="s">
        <v>50</v>
      </c>
      <c r="AJ353" s="0" t="s">
        <v>50</v>
      </c>
      <c r="AK353" s="0" t="s">
        <v>50</v>
      </c>
      <c r="AL353" s="0" t="s">
        <v>50</v>
      </c>
    </row>
    <row r="354" customFormat="false" ht="13.8" hidden="false" customHeight="false" outlineLevel="0" collapsed="false">
      <c r="B354" s="0" t="str">
        <f aca="false">HYPERLINK("https://genome.ucsc.edu/cgi-bin/hgTracks?db=hg19&amp;position=chr7%3A142470773%2D142470773", "chr7:142470773")</f>
        <v>chr7:142470773</v>
      </c>
      <c r="C354" s="0" t="s">
        <v>269</v>
      </c>
      <c r="D354" s="0" t="n">
        <v>142470773</v>
      </c>
      <c r="E354" s="0" t="n">
        <v>142470773</v>
      </c>
      <c r="F354" s="0" t="s">
        <v>75</v>
      </c>
      <c r="G354" s="0" t="s">
        <v>74</v>
      </c>
      <c r="H354" s="0" t="s">
        <v>2032</v>
      </c>
      <c r="I354" s="0" t="s">
        <v>1320</v>
      </c>
      <c r="J354" s="0" t="s">
        <v>2033</v>
      </c>
      <c r="K354" s="0" t="s">
        <v>50</v>
      </c>
      <c r="L354" s="0" t="str">
        <f aca="false">HYPERLINK("https://www.ncbi.nlm.nih.gov/snp/rs879144012", "rs879144012")</f>
        <v>rs879144012</v>
      </c>
      <c r="M354" s="0" t="str">
        <f aca="false">HYPERLINK("https://www.genecards.org/Search/Keyword?queryString=%5Baliases%5D(%20BV6S4-BJ2S2%20)%20OR%20%5Baliases%5D(%20TCRVB%20)&amp;keywords=BV6S4-BJ2S2,TCRVB", "BV6S4-BJ2S2;TCRVB")</f>
        <v>BV6S4-BJ2S2;TCRVB</v>
      </c>
      <c r="N354" s="0" t="s">
        <v>2034</v>
      </c>
      <c r="O354" s="0" t="s">
        <v>50</v>
      </c>
      <c r="P354" s="0" t="s">
        <v>2035</v>
      </c>
      <c r="Q354" s="0" t="n">
        <v>0.0006916</v>
      </c>
      <c r="R354" s="0" t="n">
        <v>-1</v>
      </c>
      <c r="S354" s="0" t="n">
        <v>-1</v>
      </c>
      <c r="T354" s="0" t="n">
        <v>-1</v>
      </c>
      <c r="U354" s="0" t="n">
        <v>-1</v>
      </c>
      <c r="V354" s="0" t="s">
        <v>50</v>
      </c>
      <c r="W354" s="0" t="s">
        <v>50</v>
      </c>
      <c r="X354" s="0" t="s">
        <v>50</v>
      </c>
      <c r="Y354" s="0" t="s">
        <v>50</v>
      </c>
      <c r="Z354" s="0" t="s">
        <v>50</v>
      </c>
      <c r="AA354" s="0" t="s">
        <v>50</v>
      </c>
      <c r="AB354" s="0" t="s">
        <v>50</v>
      </c>
      <c r="AC354" s="0" t="s">
        <v>53</v>
      </c>
      <c r="AD354" s="0" t="s">
        <v>2036</v>
      </c>
      <c r="AE354" s="0" t="s">
        <v>50</v>
      </c>
      <c r="AF354" s="0" t="s">
        <v>50</v>
      </c>
      <c r="AG354" s="0" t="s">
        <v>50</v>
      </c>
      <c r="AH354" s="0" t="s">
        <v>50</v>
      </c>
      <c r="AI354" s="0" t="s">
        <v>50</v>
      </c>
      <c r="AJ354" s="0" t="s">
        <v>50</v>
      </c>
      <c r="AK354" s="0" t="s">
        <v>50</v>
      </c>
      <c r="AL354" s="0" t="s">
        <v>50</v>
      </c>
    </row>
    <row r="355" customFormat="false" ht="13.8" hidden="false" customHeight="false" outlineLevel="0" collapsed="false">
      <c r="B355" s="0" t="str">
        <f aca="false">HYPERLINK("https://genome.ucsc.edu/cgi-bin/hgTracks?db=hg19&amp;position=chr7%3A151926883%2D151926883", "chr7:151926883")</f>
        <v>chr7:151926883</v>
      </c>
      <c r="C355" s="0" t="s">
        <v>269</v>
      </c>
      <c r="D355" s="0" t="n">
        <v>151926883</v>
      </c>
      <c r="E355" s="0" t="n">
        <v>151926883</v>
      </c>
      <c r="F355" s="0" t="s">
        <v>40</v>
      </c>
      <c r="G355" s="0" t="s">
        <v>39</v>
      </c>
      <c r="H355" s="0" t="s">
        <v>2037</v>
      </c>
      <c r="I355" s="0" t="s">
        <v>367</v>
      </c>
      <c r="J355" s="0" t="s">
        <v>368</v>
      </c>
      <c r="K355" s="0" t="s">
        <v>50</v>
      </c>
      <c r="L355" s="0" t="str">
        <f aca="false">HYPERLINK("https://www.ncbi.nlm.nih.gov/snp/rs2360917", "rs2360917")</f>
        <v>rs2360917</v>
      </c>
      <c r="M355" s="0" t="str">
        <f aca="false">HYPERLINK("https://www.genecards.org/Search/Keyword?queryString=%5Baliases%5D(%20KMT2C%20)&amp;keywords=KMT2C", "KMT2C")</f>
        <v>KMT2C</v>
      </c>
      <c r="N355" s="0" t="s">
        <v>80</v>
      </c>
      <c r="O355" s="0" t="s">
        <v>50</v>
      </c>
      <c r="P355" s="0" t="s">
        <v>50</v>
      </c>
      <c r="Q355" s="0" t="n">
        <v>3.84E-005</v>
      </c>
      <c r="R355" s="0" t="n">
        <v>-1</v>
      </c>
      <c r="S355" s="0" t="n">
        <v>-1</v>
      </c>
      <c r="T355" s="0" t="n">
        <v>-1</v>
      </c>
      <c r="U355" s="0" t="n">
        <v>-1</v>
      </c>
      <c r="V355" s="0" t="s">
        <v>50</v>
      </c>
      <c r="W355" s="0" t="s">
        <v>50</v>
      </c>
      <c r="X355" s="0" t="s">
        <v>49</v>
      </c>
      <c r="Y355" s="0" t="s">
        <v>82</v>
      </c>
      <c r="Z355" s="0" t="s">
        <v>50</v>
      </c>
      <c r="AA355" s="0" t="s">
        <v>50</v>
      </c>
      <c r="AB355" s="0" t="s">
        <v>50</v>
      </c>
      <c r="AC355" s="0" t="s">
        <v>53</v>
      </c>
      <c r="AD355" s="0" t="s">
        <v>226</v>
      </c>
      <c r="AE355" s="0" t="s">
        <v>274</v>
      </c>
      <c r="AF355" s="0" t="s">
        <v>275</v>
      </c>
      <c r="AG355" s="0" t="s">
        <v>276</v>
      </c>
      <c r="AH355" s="0" t="s">
        <v>50</v>
      </c>
      <c r="AI355" s="0" t="s">
        <v>50</v>
      </c>
      <c r="AJ355" s="0" t="s">
        <v>50</v>
      </c>
      <c r="AK355" s="0" t="s">
        <v>50</v>
      </c>
      <c r="AL355" s="0" t="s">
        <v>50</v>
      </c>
    </row>
    <row r="356" customFormat="false" ht="13.8" hidden="false" customHeight="false" outlineLevel="0" collapsed="false">
      <c r="B356" s="0" t="str">
        <f aca="false">HYPERLINK("https://genome.ucsc.edu/cgi-bin/hgTracks?db=hg19&amp;position=chr7%3A156629383%2D156629383", "chr7:156629383")</f>
        <v>chr7:156629383</v>
      </c>
      <c r="C356" s="0" t="s">
        <v>269</v>
      </c>
      <c r="D356" s="0" t="n">
        <v>156629383</v>
      </c>
      <c r="E356" s="0" t="n">
        <v>156629383</v>
      </c>
      <c r="F356" s="0" t="s">
        <v>74</v>
      </c>
      <c r="G356" s="0" t="s">
        <v>39</v>
      </c>
      <c r="H356" s="0" t="s">
        <v>2038</v>
      </c>
      <c r="I356" s="0" t="s">
        <v>703</v>
      </c>
      <c r="J356" s="0" t="s">
        <v>2039</v>
      </c>
      <c r="K356" s="0" t="s">
        <v>50</v>
      </c>
      <c r="L356" s="0" t="str">
        <f aca="false">HYPERLINK("https://www.ncbi.nlm.nih.gov/snp/rs112216864", "rs112216864")</f>
        <v>rs112216864</v>
      </c>
      <c r="M356" s="0" t="str">
        <f aca="false">HYPERLINK("https://www.genecards.org/Search/Keyword?queryString=%5Baliases%5D(%20LMBR1%20)&amp;keywords=LMBR1", "LMBR1")</f>
        <v>LMBR1</v>
      </c>
      <c r="N356" s="0" t="s">
        <v>80</v>
      </c>
      <c r="O356" s="0" t="s">
        <v>50</v>
      </c>
      <c r="P356" s="0" t="s">
        <v>50</v>
      </c>
      <c r="Q356" s="0" t="n">
        <v>0.0263</v>
      </c>
      <c r="R356" s="0" t="n">
        <v>0.0277</v>
      </c>
      <c r="S356" s="0" t="n">
        <v>0.0265</v>
      </c>
      <c r="T356" s="0" t="n">
        <v>-1</v>
      </c>
      <c r="U356" s="0" t="n">
        <v>0.0317</v>
      </c>
      <c r="V356" s="0" t="s">
        <v>50</v>
      </c>
      <c r="W356" s="0" t="s">
        <v>50</v>
      </c>
      <c r="X356" s="0" t="s">
        <v>81</v>
      </c>
      <c r="Y356" s="0" t="s">
        <v>82</v>
      </c>
      <c r="Z356" s="0" t="s">
        <v>50</v>
      </c>
      <c r="AA356" s="0" t="s">
        <v>50</v>
      </c>
      <c r="AB356" s="0" t="s">
        <v>50</v>
      </c>
      <c r="AC356" s="0" t="s">
        <v>53</v>
      </c>
      <c r="AD356" s="0" t="s">
        <v>54</v>
      </c>
      <c r="AE356" s="0" t="s">
        <v>2040</v>
      </c>
      <c r="AF356" s="0" t="s">
        <v>2041</v>
      </c>
      <c r="AG356" s="0" t="s">
        <v>2042</v>
      </c>
      <c r="AH356" s="0" t="s">
        <v>2043</v>
      </c>
      <c r="AI356" s="0" t="s">
        <v>50</v>
      </c>
      <c r="AJ356" s="0" t="s">
        <v>50</v>
      </c>
      <c r="AK356" s="0" t="s">
        <v>50</v>
      </c>
      <c r="AL356" s="0" t="s">
        <v>50</v>
      </c>
    </row>
    <row r="357" customFormat="false" ht="13.8" hidden="false" customHeight="false" outlineLevel="0" collapsed="false">
      <c r="B357" s="0" t="str">
        <f aca="false">HYPERLINK("https://genome.ucsc.edu/cgi-bin/hgTracks?db=hg19&amp;position=chr8%3A21827879%2D21827879", "chr8:21827879")</f>
        <v>chr8:21827879</v>
      </c>
      <c r="C357" s="0" t="s">
        <v>180</v>
      </c>
      <c r="D357" s="0" t="n">
        <v>21827879</v>
      </c>
      <c r="E357" s="0" t="n">
        <v>21827879</v>
      </c>
      <c r="F357" s="0" t="s">
        <v>75</v>
      </c>
      <c r="G357" s="0" t="s">
        <v>74</v>
      </c>
      <c r="H357" s="0" t="s">
        <v>2044</v>
      </c>
      <c r="I357" s="0" t="s">
        <v>816</v>
      </c>
      <c r="J357" s="0" t="s">
        <v>2045</v>
      </c>
      <c r="K357" s="0" t="s">
        <v>50</v>
      </c>
      <c r="L357" s="0" t="s">
        <v>50</v>
      </c>
      <c r="M357" s="0" t="str">
        <f aca="false">HYPERLINK("https://www.genecards.org/Search/Keyword?queryString=%5Baliases%5D(%20XPO7%20)&amp;keywords=XPO7", "XPO7")</f>
        <v>XPO7</v>
      </c>
      <c r="N357" s="0" t="s">
        <v>80</v>
      </c>
      <c r="O357" s="0" t="s">
        <v>50</v>
      </c>
      <c r="P357" s="0" t="s">
        <v>50</v>
      </c>
      <c r="Q357" s="0" t="n">
        <v>-1</v>
      </c>
      <c r="R357" s="0" t="n">
        <v>-1</v>
      </c>
      <c r="S357" s="0" t="n">
        <v>-1</v>
      </c>
      <c r="T357" s="0" t="n">
        <v>-1</v>
      </c>
      <c r="U357" s="0" t="n">
        <v>-1</v>
      </c>
      <c r="V357" s="0" t="s">
        <v>50</v>
      </c>
      <c r="W357" s="0" t="s">
        <v>50</v>
      </c>
      <c r="X357" s="0" t="s">
        <v>49</v>
      </c>
      <c r="Y357" s="0" t="s">
        <v>82</v>
      </c>
      <c r="Z357" s="0" t="s">
        <v>50</v>
      </c>
      <c r="AA357" s="0" t="s">
        <v>50</v>
      </c>
      <c r="AB357" s="0" t="s">
        <v>50</v>
      </c>
      <c r="AC357" s="0" t="s">
        <v>53</v>
      </c>
      <c r="AD357" s="0" t="s">
        <v>54</v>
      </c>
      <c r="AE357" s="0" t="s">
        <v>2046</v>
      </c>
      <c r="AF357" s="0" t="s">
        <v>2047</v>
      </c>
      <c r="AG357" s="0" t="s">
        <v>2048</v>
      </c>
      <c r="AH357" s="0" t="s">
        <v>50</v>
      </c>
      <c r="AI357" s="0" t="s">
        <v>50</v>
      </c>
      <c r="AJ357" s="0" t="s">
        <v>50</v>
      </c>
      <c r="AK357" s="0" t="s">
        <v>50</v>
      </c>
      <c r="AL357" s="0" t="s">
        <v>50</v>
      </c>
    </row>
    <row r="358" customFormat="false" ht="13.8" hidden="false" customHeight="false" outlineLevel="0" collapsed="false">
      <c r="B358" s="0" t="str">
        <f aca="false">HYPERLINK("https://genome.ucsc.edu/cgi-bin/hgTracks?db=hg19&amp;position=chr8%3A38700631%2D38700631", "chr8:38700631")</f>
        <v>chr8:38700631</v>
      </c>
      <c r="C358" s="0" t="s">
        <v>180</v>
      </c>
      <c r="D358" s="0" t="n">
        <v>38700631</v>
      </c>
      <c r="E358" s="0" t="n">
        <v>38700631</v>
      </c>
      <c r="F358" s="0" t="s">
        <v>40</v>
      </c>
      <c r="G358" s="0" t="s">
        <v>74</v>
      </c>
      <c r="H358" s="0" t="s">
        <v>2049</v>
      </c>
      <c r="I358" s="0" t="s">
        <v>302</v>
      </c>
      <c r="J358" s="0" t="s">
        <v>607</v>
      </c>
      <c r="K358" s="0" t="s">
        <v>50</v>
      </c>
      <c r="L358" s="0" t="str">
        <f aca="false">HYPERLINK("https://www.ncbi.nlm.nih.gov/snp/rs539281757", "rs539281757")</f>
        <v>rs539281757</v>
      </c>
      <c r="M358" s="0" t="str">
        <f aca="false">HYPERLINK("https://www.genecards.org/Search/Keyword?queryString=%5Baliases%5D(%20TACC1%20)&amp;keywords=TACC1", "TACC1")</f>
        <v>TACC1</v>
      </c>
      <c r="N358" s="0" t="s">
        <v>80</v>
      </c>
      <c r="O358" s="0" t="s">
        <v>50</v>
      </c>
      <c r="P358" s="0" t="s">
        <v>50</v>
      </c>
      <c r="Q358" s="0" t="n">
        <v>0.002</v>
      </c>
      <c r="R358" s="0" t="n">
        <v>0.0023</v>
      </c>
      <c r="S358" s="0" t="n">
        <v>0.0019</v>
      </c>
      <c r="T358" s="0" t="n">
        <v>-1</v>
      </c>
      <c r="U358" s="0" t="n">
        <v>0.0033</v>
      </c>
      <c r="V358" s="0" t="s">
        <v>50</v>
      </c>
      <c r="W358" s="0" t="s">
        <v>50</v>
      </c>
      <c r="X358" s="0" t="s">
        <v>49</v>
      </c>
      <c r="Y358" s="0" t="s">
        <v>82</v>
      </c>
      <c r="Z358" s="0" t="s">
        <v>50</v>
      </c>
      <c r="AA358" s="0" t="s">
        <v>50</v>
      </c>
      <c r="AB358" s="0" t="s">
        <v>50</v>
      </c>
      <c r="AC358" s="0" t="s">
        <v>53</v>
      </c>
      <c r="AD358" s="0" t="s">
        <v>54</v>
      </c>
      <c r="AE358" s="0" t="s">
        <v>2050</v>
      </c>
      <c r="AF358" s="0" t="s">
        <v>2051</v>
      </c>
      <c r="AG358" s="0" t="s">
        <v>2052</v>
      </c>
      <c r="AH358" s="0" t="s">
        <v>50</v>
      </c>
      <c r="AI358" s="0" t="s">
        <v>50</v>
      </c>
      <c r="AJ358" s="0" t="s">
        <v>50</v>
      </c>
      <c r="AK358" s="0" t="s">
        <v>50</v>
      </c>
      <c r="AL358" s="0" t="s">
        <v>50</v>
      </c>
    </row>
    <row r="359" customFormat="false" ht="13.8" hidden="false" customHeight="false" outlineLevel="0" collapsed="false">
      <c r="B359" s="0" t="str">
        <f aca="false">HYPERLINK("https://genome.ucsc.edu/cgi-bin/hgTracks?db=hg19&amp;position=chr8%3A54742095%2D54742095", "chr8:54742095")</f>
        <v>chr8:54742095</v>
      </c>
      <c r="C359" s="0" t="s">
        <v>180</v>
      </c>
      <c r="D359" s="0" t="n">
        <v>54742095</v>
      </c>
      <c r="E359" s="0" t="n">
        <v>54742095</v>
      </c>
      <c r="F359" s="0" t="s">
        <v>308</v>
      </c>
      <c r="G359" s="0" t="s">
        <v>75</v>
      </c>
      <c r="H359" s="0" t="s">
        <v>2053</v>
      </c>
      <c r="I359" s="0" t="s">
        <v>2054</v>
      </c>
      <c r="J359" s="0" t="s">
        <v>2055</v>
      </c>
      <c r="K359" s="0" t="s">
        <v>50</v>
      </c>
      <c r="L359" s="0" t="str">
        <f aca="false">HYPERLINK("https://www.ncbi.nlm.nih.gov/snp/rs751945840", "rs751945840")</f>
        <v>rs751945840</v>
      </c>
      <c r="M359" s="0" t="str">
        <f aca="false">HYPERLINK("https://www.genecards.org/Search/Keyword?queryString=%5Baliases%5D(%20ATP6V1H%20)&amp;keywords=ATP6V1H", "ATP6V1H")</f>
        <v>ATP6V1H</v>
      </c>
      <c r="N359" s="0" t="s">
        <v>64</v>
      </c>
      <c r="O359" s="0" t="s">
        <v>50</v>
      </c>
      <c r="P359" s="0" t="s">
        <v>2056</v>
      </c>
      <c r="Q359" s="0" t="n">
        <v>0.0094</v>
      </c>
      <c r="R359" s="0" t="n">
        <v>0.0039</v>
      </c>
      <c r="S359" s="0" t="n">
        <v>0.0007</v>
      </c>
      <c r="T359" s="0" t="n">
        <v>-1</v>
      </c>
      <c r="U359" s="0" t="n">
        <v>0.0017</v>
      </c>
      <c r="V359" s="0" t="s">
        <v>50</v>
      </c>
      <c r="W359" s="0" t="s">
        <v>50</v>
      </c>
      <c r="X359" s="0" t="s">
        <v>50</v>
      </c>
      <c r="Y359" s="0" t="s">
        <v>50</v>
      </c>
      <c r="Z359" s="0" t="s">
        <v>50</v>
      </c>
      <c r="AA359" s="0" t="s">
        <v>50</v>
      </c>
      <c r="AB359" s="0" t="s">
        <v>50</v>
      </c>
      <c r="AC359" s="0" t="s">
        <v>53</v>
      </c>
      <c r="AD359" s="0" t="s">
        <v>54</v>
      </c>
      <c r="AE359" s="0" t="s">
        <v>2057</v>
      </c>
      <c r="AF359" s="0" t="s">
        <v>2058</v>
      </c>
      <c r="AG359" s="0" t="s">
        <v>2059</v>
      </c>
      <c r="AH359" s="0" t="s">
        <v>50</v>
      </c>
      <c r="AI359" s="0" t="s">
        <v>50</v>
      </c>
      <c r="AJ359" s="0" t="s">
        <v>50</v>
      </c>
      <c r="AK359" s="0" t="s">
        <v>50</v>
      </c>
      <c r="AL359" s="0" t="s">
        <v>50</v>
      </c>
    </row>
    <row r="360" customFormat="false" ht="13.8" hidden="false" customHeight="false" outlineLevel="0" collapsed="false">
      <c r="B360" s="0" t="str">
        <f aca="false">HYPERLINK("https://genome.ucsc.edu/cgi-bin/hgTracks?db=hg19&amp;position=chr8%3A55671540%2D55671540", "chr8:55671540")</f>
        <v>chr8:55671540</v>
      </c>
      <c r="C360" s="0" t="s">
        <v>180</v>
      </c>
      <c r="D360" s="0" t="n">
        <v>55671540</v>
      </c>
      <c r="E360" s="0" t="n">
        <v>55671540</v>
      </c>
      <c r="F360" s="0" t="s">
        <v>74</v>
      </c>
      <c r="G360" s="0" t="s">
        <v>40</v>
      </c>
      <c r="H360" s="0" t="s">
        <v>2060</v>
      </c>
      <c r="I360" s="0" t="s">
        <v>374</v>
      </c>
      <c r="J360" s="0" t="s">
        <v>2061</v>
      </c>
      <c r="K360" s="0" t="s">
        <v>50</v>
      </c>
      <c r="L360" s="0" t="str">
        <f aca="false">HYPERLINK("https://www.ncbi.nlm.nih.gov/snp/rs771602011", "rs771602011")</f>
        <v>rs771602011</v>
      </c>
      <c r="M360" s="0" t="str">
        <f aca="false">HYPERLINK("https://www.genecards.org/Search/Keyword?queryString=%5Baliases%5D(%20RP1%20)&amp;keywords=RP1", "RP1")</f>
        <v>RP1</v>
      </c>
      <c r="N360" s="0" t="s">
        <v>2062</v>
      </c>
      <c r="O360" s="0" t="s">
        <v>46</v>
      </c>
      <c r="P360" s="0" t="s">
        <v>2063</v>
      </c>
      <c r="Q360" s="0" t="n">
        <v>0.0002</v>
      </c>
      <c r="R360" s="0" t="n">
        <v>0.0002</v>
      </c>
      <c r="S360" s="0" t="n">
        <v>0.0006</v>
      </c>
      <c r="T360" s="0" t="n">
        <v>-1</v>
      </c>
      <c r="U360" s="0" t="n">
        <v>0.0008</v>
      </c>
      <c r="V360" s="0" t="s">
        <v>2064</v>
      </c>
      <c r="W360" s="0" t="s">
        <v>50</v>
      </c>
      <c r="X360" s="0" t="s">
        <v>50</v>
      </c>
      <c r="Y360" s="0" t="s">
        <v>50</v>
      </c>
      <c r="Z360" s="0" t="s">
        <v>50</v>
      </c>
      <c r="AA360" s="0" t="s">
        <v>50</v>
      </c>
      <c r="AB360" s="0" t="s">
        <v>50</v>
      </c>
      <c r="AC360" s="0" t="s">
        <v>53</v>
      </c>
      <c r="AD360" s="0" t="s">
        <v>54</v>
      </c>
      <c r="AE360" s="0" t="s">
        <v>2065</v>
      </c>
      <c r="AF360" s="0" t="s">
        <v>2066</v>
      </c>
      <c r="AG360" s="0" t="s">
        <v>2067</v>
      </c>
      <c r="AH360" s="0" t="s">
        <v>2068</v>
      </c>
      <c r="AI360" s="0" t="s">
        <v>50</v>
      </c>
      <c r="AJ360" s="0" t="s">
        <v>50</v>
      </c>
      <c r="AK360" s="0" t="s">
        <v>50</v>
      </c>
      <c r="AL360" s="0" t="s">
        <v>50</v>
      </c>
    </row>
    <row r="361" customFormat="false" ht="13.8" hidden="false" customHeight="false" outlineLevel="0" collapsed="false">
      <c r="B361" s="0" t="str">
        <f aca="false">HYPERLINK("https://genome.ucsc.edu/cgi-bin/hgTracks?db=hg19&amp;position=chr8%3A68346582%2D68346582", "chr8:68346582")</f>
        <v>chr8:68346582</v>
      </c>
      <c r="C361" s="0" t="s">
        <v>180</v>
      </c>
      <c r="D361" s="0" t="n">
        <v>68346582</v>
      </c>
      <c r="E361" s="0" t="n">
        <v>68346582</v>
      </c>
      <c r="F361" s="0" t="s">
        <v>40</v>
      </c>
      <c r="G361" s="0" t="s">
        <v>39</v>
      </c>
      <c r="H361" s="0" t="s">
        <v>2069</v>
      </c>
      <c r="I361" s="0" t="s">
        <v>1652</v>
      </c>
      <c r="J361" s="0" t="s">
        <v>2070</v>
      </c>
      <c r="K361" s="0" t="s">
        <v>50</v>
      </c>
      <c r="L361" s="0" t="str">
        <f aca="false">HYPERLINK("https://www.ncbi.nlm.nih.gov/snp/rs117556189", "rs117556189")</f>
        <v>rs117556189</v>
      </c>
      <c r="M361" s="0" t="str">
        <f aca="false">HYPERLINK("https://www.genecards.org/Search/Keyword?queryString=%5Baliases%5D(%20CPA6%20)%20OR%20%5Baliases%5D(%20LOC102724708%20)&amp;keywords=CPA6,LOC102724708", "CPA6;LOC102724708")</f>
        <v>CPA6;LOC102724708</v>
      </c>
      <c r="N361" s="0" t="s">
        <v>347</v>
      </c>
      <c r="O361" s="0" t="s">
        <v>50</v>
      </c>
      <c r="P361" s="0" t="s">
        <v>50</v>
      </c>
      <c r="Q361" s="0" t="n">
        <v>0.0248</v>
      </c>
      <c r="R361" s="0" t="n">
        <v>0.0198</v>
      </c>
      <c r="S361" s="0" t="n">
        <v>0.0197</v>
      </c>
      <c r="T361" s="0" t="n">
        <v>-1</v>
      </c>
      <c r="U361" s="0" t="n">
        <v>0.0188</v>
      </c>
      <c r="V361" s="0" t="s">
        <v>50</v>
      </c>
      <c r="W361" s="0" t="s">
        <v>50</v>
      </c>
      <c r="X361" s="0" t="s">
        <v>348</v>
      </c>
      <c r="Y361" s="0" t="s">
        <v>82</v>
      </c>
      <c r="Z361" s="0" t="s">
        <v>50</v>
      </c>
      <c r="AA361" s="0" t="s">
        <v>50</v>
      </c>
      <c r="AB361" s="0" t="s">
        <v>50</v>
      </c>
      <c r="AC361" s="0" t="s">
        <v>53</v>
      </c>
      <c r="AD361" s="0" t="s">
        <v>157</v>
      </c>
      <c r="AE361" s="0" t="s">
        <v>2071</v>
      </c>
      <c r="AF361" s="0" t="s">
        <v>2072</v>
      </c>
      <c r="AG361" s="0" t="s">
        <v>2073</v>
      </c>
      <c r="AH361" s="0" t="s">
        <v>2074</v>
      </c>
      <c r="AI361" s="0" t="s">
        <v>50</v>
      </c>
      <c r="AJ361" s="0" t="s">
        <v>50</v>
      </c>
      <c r="AK361" s="0" t="s">
        <v>50</v>
      </c>
      <c r="AL361" s="0" t="s">
        <v>50</v>
      </c>
    </row>
    <row r="362" customFormat="false" ht="13.8" hidden="false" customHeight="false" outlineLevel="0" collapsed="false">
      <c r="B362" s="0" t="str">
        <f aca="false">HYPERLINK("https://genome.ucsc.edu/cgi-bin/hgTracks?db=hg19&amp;position=chr8%3A74894654%2D74894654", "chr8:74894654")</f>
        <v>chr8:74894654</v>
      </c>
      <c r="C362" s="0" t="s">
        <v>180</v>
      </c>
      <c r="D362" s="0" t="n">
        <v>74894654</v>
      </c>
      <c r="E362" s="0" t="n">
        <v>74894654</v>
      </c>
      <c r="F362" s="0" t="s">
        <v>39</v>
      </c>
      <c r="G362" s="0" t="s">
        <v>40</v>
      </c>
      <c r="H362" s="0" t="s">
        <v>2075</v>
      </c>
      <c r="I362" s="0" t="s">
        <v>868</v>
      </c>
      <c r="J362" s="0" t="s">
        <v>2076</v>
      </c>
      <c r="K362" s="0" t="s">
        <v>50</v>
      </c>
      <c r="L362" s="0" t="str">
        <f aca="false">HYPERLINK("https://www.ncbi.nlm.nih.gov/snp/rs746979608", "rs746979608")</f>
        <v>rs746979608</v>
      </c>
      <c r="M362" s="0" t="str">
        <f aca="false">HYPERLINK("https://www.genecards.org/Search/Keyword?queryString=%5Baliases%5D(%20TMEM70%20)&amp;keywords=TMEM70", "TMEM70")</f>
        <v>TMEM70</v>
      </c>
      <c r="N362" s="0" t="s">
        <v>929</v>
      </c>
      <c r="O362" s="0" t="s">
        <v>50</v>
      </c>
      <c r="P362" s="0" t="s">
        <v>2077</v>
      </c>
      <c r="Q362" s="0" t="n">
        <v>1.94E-005</v>
      </c>
      <c r="R362" s="0" t="n">
        <v>-1</v>
      </c>
      <c r="S362" s="0" t="n">
        <v>-1</v>
      </c>
      <c r="T362" s="0" t="n">
        <v>-1</v>
      </c>
      <c r="U362" s="0" t="n">
        <v>-1</v>
      </c>
      <c r="V362" s="0" t="s">
        <v>50</v>
      </c>
      <c r="W362" s="0" t="s">
        <v>50</v>
      </c>
      <c r="X362" s="0" t="s">
        <v>50</v>
      </c>
      <c r="Y362" s="0" t="s">
        <v>50</v>
      </c>
      <c r="Z362" s="0" t="s">
        <v>50</v>
      </c>
      <c r="AA362" s="0" t="s">
        <v>50</v>
      </c>
      <c r="AB362" s="0" t="s">
        <v>50</v>
      </c>
      <c r="AC362" s="0" t="s">
        <v>53</v>
      </c>
      <c r="AD362" s="0" t="s">
        <v>54</v>
      </c>
      <c r="AE362" s="0" t="s">
        <v>2078</v>
      </c>
      <c r="AF362" s="0" t="s">
        <v>2079</v>
      </c>
      <c r="AG362" s="0" t="s">
        <v>2080</v>
      </c>
      <c r="AH362" s="0" t="s">
        <v>2081</v>
      </c>
      <c r="AI362" s="0" t="s">
        <v>50</v>
      </c>
      <c r="AJ362" s="0" t="s">
        <v>50</v>
      </c>
      <c r="AK362" s="0" t="s">
        <v>50</v>
      </c>
      <c r="AL362" s="0" t="s">
        <v>50</v>
      </c>
    </row>
    <row r="363" customFormat="false" ht="13.8" hidden="false" customHeight="false" outlineLevel="0" collapsed="false">
      <c r="B363" s="0" t="str">
        <f aca="false">HYPERLINK("https://genome.ucsc.edu/cgi-bin/hgTracks?db=hg19&amp;position=chr8%3A134251383%2D134251383", "chr8:134251383")</f>
        <v>chr8:134251383</v>
      </c>
      <c r="C363" s="0" t="s">
        <v>180</v>
      </c>
      <c r="D363" s="0" t="n">
        <v>134251383</v>
      </c>
      <c r="E363" s="0" t="n">
        <v>134251383</v>
      </c>
      <c r="F363" s="0" t="s">
        <v>39</v>
      </c>
      <c r="G363" s="0" t="s">
        <v>40</v>
      </c>
      <c r="H363" s="0" t="s">
        <v>2082</v>
      </c>
      <c r="I363" s="0" t="s">
        <v>1537</v>
      </c>
      <c r="J363" s="0" t="s">
        <v>2083</v>
      </c>
      <c r="K363" s="0" t="s">
        <v>50</v>
      </c>
      <c r="L363" s="0" t="str">
        <f aca="false">HYPERLINK("https://www.ncbi.nlm.nih.gov/snp/rs775948296", "rs775948296")</f>
        <v>rs775948296</v>
      </c>
      <c r="M363" s="0" t="str">
        <f aca="false">HYPERLINK("https://www.genecards.org/Search/Keyword?queryString=%5Baliases%5D(%20AX746885%20)%20OR%20%5Baliases%5D(%20NDRG1%20)&amp;keywords=AX746885,NDRG1", "AX746885;NDRG1")</f>
        <v>AX746885;NDRG1</v>
      </c>
      <c r="N363" s="0" t="s">
        <v>390</v>
      </c>
      <c r="O363" s="0" t="s">
        <v>50</v>
      </c>
      <c r="P363" s="0" t="s">
        <v>50</v>
      </c>
      <c r="Q363" s="0" t="n">
        <v>6.5E-006</v>
      </c>
      <c r="R363" s="0" t="n">
        <v>-1</v>
      </c>
      <c r="S363" s="0" t="n">
        <v>-1</v>
      </c>
      <c r="T363" s="0" t="n">
        <v>-1</v>
      </c>
      <c r="U363" s="0" t="n">
        <v>-1</v>
      </c>
      <c r="V363" s="0" t="s">
        <v>50</v>
      </c>
      <c r="W363" s="0" t="s">
        <v>50</v>
      </c>
      <c r="X363" s="0" t="s">
        <v>50</v>
      </c>
      <c r="Y363" s="0" t="s">
        <v>50</v>
      </c>
      <c r="Z363" s="0" t="s">
        <v>50</v>
      </c>
      <c r="AA363" s="0" t="s">
        <v>50</v>
      </c>
      <c r="AB363" s="0" t="s">
        <v>50</v>
      </c>
      <c r="AC363" s="0" t="s">
        <v>53</v>
      </c>
      <c r="AD363" s="0" t="s">
        <v>157</v>
      </c>
      <c r="AE363" s="0" t="s">
        <v>2084</v>
      </c>
      <c r="AF363" s="0" t="s">
        <v>2085</v>
      </c>
      <c r="AG363" s="0" t="s">
        <v>2086</v>
      </c>
      <c r="AH363" s="0" t="s">
        <v>2087</v>
      </c>
      <c r="AI363" s="0" t="s">
        <v>50</v>
      </c>
      <c r="AJ363" s="0" t="s">
        <v>50</v>
      </c>
      <c r="AK363" s="0" t="s">
        <v>50</v>
      </c>
      <c r="AL363" s="0" t="s">
        <v>50</v>
      </c>
    </row>
    <row r="364" customFormat="false" ht="13.8" hidden="false" customHeight="false" outlineLevel="0" collapsed="false">
      <c r="B364" s="0" t="str">
        <f aca="false">HYPERLINK("https://genome.ucsc.edu/cgi-bin/hgTracks?db=hg19&amp;position=chr8%3A145640912%2D145640912", "chr8:145640912")</f>
        <v>chr8:145640912</v>
      </c>
      <c r="C364" s="0" t="s">
        <v>180</v>
      </c>
      <c r="D364" s="0" t="n">
        <v>145640912</v>
      </c>
      <c r="E364" s="0" t="n">
        <v>145640912</v>
      </c>
      <c r="F364" s="0" t="s">
        <v>39</v>
      </c>
      <c r="G364" s="0" t="s">
        <v>40</v>
      </c>
      <c r="H364" s="0" t="s">
        <v>2088</v>
      </c>
      <c r="I364" s="0" t="s">
        <v>776</v>
      </c>
      <c r="J364" s="0" t="s">
        <v>2089</v>
      </c>
      <c r="K364" s="0" t="s">
        <v>50</v>
      </c>
      <c r="L364" s="0" t="s">
        <v>50</v>
      </c>
      <c r="M364" s="0" t="str">
        <f aca="false">HYPERLINK("https://www.genecards.org/Search/Keyword?queryString=%5Baliases%5D(%20SLC39A4%20)&amp;keywords=SLC39A4", "SLC39A4")</f>
        <v>SLC39A4</v>
      </c>
      <c r="N364" s="0" t="s">
        <v>80</v>
      </c>
      <c r="O364" s="0" t="s">
        <v>50</v>
      </c>
      <c r="P364" s="0" t="s">
        <v>50</v>
      </c>
      <c r="Q364" s="0" t="n">
        <v>0.0002</v>
      </c>
      <c r="R364" s="0" t="n">
        <v>0.0002</v>
      </c>
      <c r="S364" s="0" t="n">
        <v>0.0003</v>
      </c>
      <c r="T364" s="0" t="n">
        <v>-1</v>
      </c>
      <c r="U364" s="0" t="n">
        <v>-1</v>
      </c>
      <c r="V364" s="0" t="s">
        <v>50</v>
      </c>
      <c r="W364" s="0" t="s">
        <v>50</v>
      </c>
      <c r="X364" s="0" t="s">
        <v>81</v>
      </c>
      <c r="Y364" s="0" t="s">
        <v>82</v>
      </c>
      <c r="Z364" s="0" t="s">
        <v>50</v>
      </c>
      <c r="AA364" s="0" t="s">
        <v>50</v>
      </c>
      <c r="AB364" s="0" t="s">
        <v>50</v>
      </c>
      <c r="AC364" s="0" t="s">
        <v>53</v>
      </c>
      <c r="AD364" s="0" t="s">
        <v>54</v>
      </c>
      <c r="AE364" s="0" t="s">
        <v>2090</v>
      </c>
      <c r="AF364" s="0" t="s">
        <v>2091</v>
      </c>
      <c r="AG364" s="0" t="s">
        <v>2092</v>
      </c>
      <c r="AH364" s="0" t="s">
        <v>50</v>
      </c>
      <c r="AI364" s="0" t="s">
        <v>50</v>
      </c>
      <c r="AJ364" s="0" t="s">
        <v>50</v>
      </c>
      <c r="AK364" s="0" t="s">
        <v>50</v>
      </c>
      <c r="AL364" s="0" t="s">
        <v>50</v>
      </c>
    </row>
    <row r="365" customFormat="false" ht="13.8" hidden="false" customHeight="false" outlineLevel="0" collapsed="false">
      <c r="B365" s="0" t="str">
        <f aca="false">HYPERLINK("https://genome.ucsc.edu/cgi-bin/hgTracks?db=hg19&amp;position=chr9%3A163872%2D163872", "chr9:163872")</f>
        <v>chr9:163872</v>
      </c>
      <c r="C365" s="0" t="s">
        <v>2093</v>
      </c>
      <c r="D365" s="0" t="n">
        <v>163872</v>
      </c>
      <c r="E365" s="0" t="n">
        <v>163872</v>
      </c>
      <c r="F365" s="0" t="s">
        <v>75</v>
      </c>
      <c r="G365" s="0" t="s">
        <v>40</v>
      </c>
      <c r="H365" s="0" t="s">
        <v>2094</v>
      </c>
      <c r="I365" s="0" t="s">
        <v>898</v>
      </c>
      <c r="J365" s="0" t="s">
        <v>2095</v>
      </c>
      <c r="K365" s="0" t="s">
        <v>50</v>
      </c>
      <c r="L365" s="0" t="str">
        <f aca="false">HYPERLINK("https://www.ncbi.nlm.nih.gov/snp/rs2785377", "rs2785377")</f>
        <v>rs2785377</v>
      </c>
      <c r="M365" s="0" t="str">
        <f aca="false">HYPERLINK("https://www.genecards.org/Search/Keyword?queryString=%5Baliases%5D(%20CBWD1%20)&amp;keywords=CBWD1", "CBWD1")</f>
        <v>CBWD1</v>
      </c>
      <c r="N365" s="0" t="s">
        <v>80</v>
      </c>
      <c r="O365" s="0" t="s">
        <v>50</v>
      </c>
      <c r="P365" s="0" t="s">
        <v>50</v>
      </c>
      <c r="Q365" s="0" t="n">
        <v>0.027586</v>
      </c>
      <c r="R365" s="0" t="n">
        <v>-1</v>
      </c>
      <c r="S365" s="0" t="n">
        <v>-1</v>
      </c>
      <c r="T365" s="0" t="n">
        <v>-1</v>
      </c>
      <c r="U365" s="0" t="n">
        <v>-1</v>
      </c>
      <c r="V365" s="0" t="s">
        <v>50</v>
      </c>
      <c r="W365" s="0" t="s">
        <v>50</v>
      </c>
      <c r="X365" s="0" t="s">
        <v>81</v>
      </c>
      <c r="Y365" s="0" t="s">
        <v>82</v>
      </c>
      <c r="Z365" s="0" t="s">
        <v>50</v>
      </c>
      <c r="AA365" s="0" t="s">
        <v>50</v>
      </c>
      <c r="AB365" s="0" t="s">
        <v>50</v>
      </c>
      <c r="AC365" s="0" t="s">
        <v>53</v>
      </c>
      <c r="AD365" s="0" t="s">
        <v>54</v>
      </c>
      <c r="AE365" s="0" t="s">
        <v>2096</v>
      </c>
      <c r="AF365" s="0" t="s">
        <v>2097</v>
      </c>
      <c r="AG365" s="0" t="s">
        <v>50</v>
      </c>
      <c r="AH365" s="0" t="s">
        <v>50</v>
      </c>
      <c r="AI365" s="0" t="s">
        <v>50</v>
      </c>
      <c r="AJ365" s="0" t="s">
        <v>50</v>
      </c>
      <c r="AK365" s="0" t="s">
        <v>50</v>
      </c>
      <c r="AL365" s="0" t="s">
        <v>50</v>
      </c>
    </row>
    <row r="366" customFormat="false" ht="13.8" hidden="false" customHeight="false" outlineLevel="0" collapsed="false">
      <c r="B366" s="0" t="str">
        <f aca="false">HYPERLINK("https://genome.ucsc.edu/cgi-bin/hgTracks?db=hg19&amp;position=chr9%3A5085132%2D5085132", "chr9:5085132")</f>
        <v>chr9:5085132</v>
      </c>
      <c r="C366" s="0" t="s">
        <v>2093</v>
      </c>
      <c r="D366" s="0" t="n">
        <v>5085132</v>
      </c>
      <c r="E366" s="0" t="n">
        <v>5085132</v>
      </c>
      <c r="F366" s="0" t="s">
        <v>39</v>
      </c>
      <c r="G366" s="0" t="s">
        <v>40</v>
      </c>
      <c r="H366" s="0" t="s">
        <v>2098</v>
      </c>
      <c r="I366" s="0" t="s">
        <v>517</v>
      </c>
      <c r="J366" s="0" t="s">
        <v>2099</v>
      </c>
      <c r="K366" s="0" t="s">
        <v>50</v>
      </c>
      <c r="L366" s="0" t="str">
        <f aca="false">HYPERLINK("https://www.ncbi.nlm.nih.gov/snp/rs184969769", "rs184969769")</f>
        <v>rs184969769</v>
      </c>
      <c r="M366" s="0" t="str">
        <f aca="false">HYPERLINK("https://www.genecards.org/Search/Keyword?queryString=%5Baliases%5D(%20JAK2%20)&amp;keywords=JAK2", "JAK2")</f>
        <v>JAK2</v>
      </c>
      <c r="N366" s="0" t="s">
        <v>390</v>
      </c>
      <c r="O366" s="0" t="s">
        <v>50</v>
      </c>
      <c r="P366" s="0" t="s">
        <v>50</v>
      </c>
      <c r="Q366" s="0" t="n">
        <v>0.0187</v>
      </c>
      <c r="R366" s="0" t="n">
        <v>0.011</v>
      </c>
      <c r="S366" s="0" t="n">
        <v>0.0087</v>
      </c>
      <c r="T366" s="0" t="n">
        <v>-1</v>
      </c>
      <c r="U366" s="0" t="n">
        <v>0.0194</v>
      </c>
      <c r="V366" s="0" t="s">
        <v>50</v>
      </c>
      <c r="W366" s="0" t="s">
        <v>50</v>
      </c>
      <c r="X366" s="0" t="s">
        <v>50</v>
      </c>
      <c r="Y366" s="0" t="s">
        <v>50</v>
      </c>
      <c r="Z366" s="0" t="s">
        <v>50</v>
      </c>
      <c r="AA366" s="0" t="s">
        <v>50</v>
      </c>
      <c r="AB366" s="0" t="s">
        <v>50</v>
      </c>
      <c r="AC366" s="0" t="s">
        <v>53</v>
      </c>
      <c r="AD366" s="0" t="s">
        <v>54</v>
      </c>
      <c r="AE366" s="0" t="s">
        <v>2100</v>
      </c>
      <c r="AF366" s="0" t="s">
        <v>2101</v>
      </c>
      <c r="AG366" s="0" t="s">
        <v>2102</v>
      </c>
      <c r="AH366" s="0" t="s">
        <v>2103</v>
      </c>
      <c r="AI366" s="0" t="s">
        <v>50</v>
      </c>
      <c r="AJ366" s="0" t="s">
        <v>50</v>
      </c>
      <c r="AK366" s="0" t="s">
        <v>50</v>
      </c>
      <c r="AL366" s="0" t="s">
        <v>50</v>
      </c>
    </row>
    <row r="367" customFormat="false" ht="13.8" hidden="false" customHeight="false" outlineLevel="0" collapsed="false">
      <c r="B367" s="0" t="str">
        <f aca="false">HYPERLINK("https://genome.ucsc.edu/cgi-bin/hgTracks?db=hg19&amp;position=chr9%3A6639245%2D6639245", "chr9:6639245")</f>
        <v>chr9:6639245</v>
      </c>
      <c r="C367" s="0" t="s">
        <v>2093</v>
      </c>
      <c r="D367" s="0" t="n">
        <v>6639245</v>
      </c>
      <c r="E367" s="0" t="n">
        <v>6639245</v>
      </c>
      <c r="F367" s="0" t="s">
        <v>308</v>
      </c>
      <c r="G367" s="0" t="s">
        <v>75</v>
      </c>
      <c r="H367" s="0" t="s">
        <v>606</v>
      </c>
      <c r="I367" s="0" t="s">
        <v>947</v>
      </c>
      <c r="J367" s="0" t="s">
        <v>2104</v>
      </c>
      <c r="K367" s="0" t="s">
        <v>50</v>
      </c>
      <c r="L367" s="0" t="str">
        <f aca="false">HYPERLINK("https://www.ncbi.nlm.nih.gov/snp/rs918214069", "rs918214069")</f>
        <v>rs918214069</v>
      </c>
      <c r="M367" s="0" t="str">
        <f aca="false">HYPERLINK("https://www.genecards.org/Search/Keyword?queryString=%5Baliases%5D(%20GLDC%20)&amp;keywords=GLDC", "GLDC")</f>
        <v>GLDC</v>
      </c>
      <c r="N367" s="0" t="s">
        <v>390</v>
      </c>
      <c r="O367" s="0" t="s">
        <v>50</v>
      </c>
      <c r="P367" s="0" t="s">
        <v>50</v>
      </c>
      <c r="Q367" s="0" t="n">
        <v>0.0006</v>
      </c>
      <c r="R367" s="0" t="n">
        <v>0.0007</v>
      </c>
      <c r="S367" s="0" t="n">
        <v>0.0006</v>
      </c>
      <c r="T367" s="0" t="n">
        <v>-1</v>
      </c>
      <c r="U367" s="0" t="n">
        <v>-1</v>
      </c>
      <c r="V367" s="0" t="s">
        <v>50</v>
      </c>
      <c r="W367" s="0" t="s">
        <v>50</v>
      </c>
      <c r="X367" s="0" t="s">
        <v>50</v>
      </c>
      <c r="Y367" s="0" t="s">
        <v>50</v>
      </c>
      <c r="Z367" s="0" t="s">
        <v>50</v>
      </c>
      <c r="AA367" s="0" t="s">
        <v>50</v>
      </c>
      <c r="AB367" s="0" t="s">
        <v>50</v>
      </c>
      <c r="AC367" s="0" t="s">
        <v>53</v>
      </c>
      <c r="AD367" s="0" t="s">
        <v>54</v>
      </c>
      <c r="AE367" s="0" t="s">
        <v>2105</v>
      </c>
      <c r="AF367" s="0" t="s">
        <v>2106</v>
      </c>
      <c r="AG367" s="0" t="s">
        <v>2107</v>
      </c>
      <c r="AH367" s="0" t="s">
        <v>2108</v>
      </c>
      <c r="AI367" s="0" t="s">
        <v>50</v>
      </c>
      <c r="AJ367" s="0" t="s">
        <v>50</v>
      </c>
      <c r="AK367" s="0" t="s">
        <v>50</v>
      </c>
      <c r="AL367" s="0" t="s">
        <v>50</v>
      </c>
    </row>
    <row r="368" customFormat="false" ht="13.8" hidden="false" customHeight="false" outlineLevel="0" collapsed="false">
      <c r="B368" s="0" t="str">
        <f aca="false">HYPERLINK("https://genome.ucsc.edu/cgi-bin/hgTracks?db=hg19&amp;position=chr9%3A33073964%2D33073964", "chr9:33073964")</f>
        <v>chr9:33073964</v>
      </c>
      <c r="C368" s="0" t="s">
        <v>2093</v>
      </c>
      <c r="D368" s="0" t="n">
        <v>33073964</v>
      </c>
      <c r="E368" s="0" t="n">
        <v>33073964</v>
      </c>
      <c r="F368" s="0" t="s">
        <v>39</v>
      </c>
      <c r="G368" s="0" t="s">
        <v>40</v>
      </c>
      <c r="H368" s="0" t="s">
        <v>800</v>
      </c>
      <c r="I368" s="0" t="s">
        <v>678</v>
      </c>
      <c r="J368" s="0" t="s">
        <v>679</v>
      </c>
      <c r="K368" s="0" t="s">
        <v>50</v>
      </c>
      <c r="L368" s="0" t="s">
        <v>50</v>
      </c>
      <c r="M368" s="0" t="str">
        <f aca="false">HYPERLINK("https://www.genecards.org/Search/Keyword?queryString=%5Baliases%5D(%20SMU1%20)&amp;keywords=SMU1", "SMU1")</f>
        <v>SMU1</v>
      </c>
      <c r="N368" s="0" t="s">
        <v>80</v>
      </c>
      <c r="O368" s="0" t="s">
        <v>50</v>
      </c>
      <c r="P368" s="0" t="s">
        <v>50</v>
      </c>
      <c r="Q368" s="0" t="n">
        <v>-1</v>
      </c>
      <c r="R368" s="0" t="n">
        <v>-1</v>
      </c>
      <c r="S368" s="0" t="n">
        <v>-1</v>
      </c>
      <c r="T368" s="0" t="n">
        <v>-1</v>
      </c>
      <c r="U368" s="0" t="n">
        <v>-1</v>
      </c>
      <c r="V368" s="0" t="s">
        <v>50</v>
      </c>
      <c r="W368" s="0" t="s">
        <v>50</v>
      </c>
      <c r="X368" s="0" t="s">
        <v>81</v>
      </c>
      <c r="Y368" s="0" t="s">
        <v>82</v>
      </c>
      <c r="Z368" s="0" t="s">
        <v>50</v>
      </c>
      <c r="AA368" s="0" t="s">
        <v>50</v>
      </c>
      <c r="AB368" s="0" t="s">
        <v>50</v>
      </c>
      <c r="AC368" s="0" t="s">
        <v>53</v>
      </c>
      <c r="AD368" s="0" t="s">
        <v>54</v>
      </c>
      <c r="AE368" s="0" t="s">
        <v>2109</v>
      </c>
      <c r="AF368" s="0" t="s">
        <v>2110</v>
      </c>
      <c r="AG368" s="0" t="s">
        <v>50</v>
      </c>
      <c r="AH368" s="0" t="s">
        <v>50</v>
      </c>
      <c r="AI368" s="0" t="s">
        <v>50</v>
      </c>
      <c r="AJ368" s="0" t="s">
        <v>50</v>
      </c>
      <c r="AK368" s="0" t="s">
        <v>50</v>
      </c>
      <c r="AL368" s="0" t="s">
        <v>50</v>
      </c>
    </row>
    <row r="369" customFormat="false" ht="13.8" hidden="false" customHeight="false" outlineLevel="0" collapsed="false">
      <c r="B369" s="0" t="str">
        <f aca="false">HYPERLINK("https://genome.ucsc.edu/cgi-bin/hgTracks?db=hg19&amp;position=chr9%3A100093085%2D100093085", "chr9:100093085")</f>
        <v>chr9:100093085</v>
      </c>
      <c r="C369" s="0" t="s">
        <v>2093</v>
      </c>
      <c r="D369" s="0" t="n">
        <v>100093085</v>
      </c>
      <c r="E369" s="0" t="n">
        <v>100093085</v>
      </c>
      <c r="F369" s="0" t="s">
        <v>75</v>
      </c>
      <c r="G369" s="0" t="s">
        <v>74</v>
      </c>
      <c r="H369" s="0" t="s">
        <v>2111</v>
      </c>
      <c r="I369" s="0" t="s">
        <v>1546</v>
      </c>
      <c r="J369" s="0" t="s">
        <v>2112</v>
      </c>
      <c r="K369" s="0" t="s">
        <v>50</v>
      </c>
      <c r="L369" s="0" t="str">
        <f aca="false">HYPERLINK("https://www.ncbi.nlm.nih.gov/snp/rs188387437", "rs188387437")</f>
        <v>rs188387437</v>
      </c>
      <c r="M369" s="0" t="str">
        <f aca="false">HYPERLINK("https://www.genecards.org/Search/Keyword?queryString=%5Baliases%5D(%20CCDC180%20)%20OR%20%5Baliases%5D(%20LOC100499484-C9ORF174%20)%20OR%20%5Baliases%5D(%20SUGT1P4-STRA6LP-CCDC180%20)&amp;keywords=CCDC180,LOC100499484-C9ORF174,SUGT1P4-STRA6LP-CCDC180", "CCDC180;LOC100499484-C9ORF174;SUGT1P4-STRA6LP-CCDC180")</f>
        <v>CCDC180;LOC100499484-C9ORF174;SUGT1P4-STRA6LP-CCDC180</v>
      </c>
      <c r="N369" s="0" t="s">
        <v>347</v>
      </c>
      <c r="O369" s="0" t="s">
        <v>50</v>
      </c>
      <c r="P369" s="0" t="s">
        <v>50</v>
      </c>
      <c r="Q369" s="0" t="n">
        <v>0.007</v>
      </c>
      <c r="R369" s="0" t="n">
        <v>0.0049</v>
      </c>
      <c r="S369" s="0" t="n">
        <v>0.0054</v>
      </c>
      <c r="T369" s="0" t="n">
        <v>-1</v>
      </c>
      <c r="U369" s="0" t="n">
        <v>0.0041</v>
      </c>
      <c r="V369" s="0" t="s">
        <v>50</v>
      </c>
      <c r="W369" s="0" t="s">
        <v>50</v>
      </c>
      <c r="X369" s="0" t="s">
        <v>49</v>
      </c>
      <c r="Y369" s="0" t="s">
        <v>82</v>
      </c>
      <c r="Z369" s="0" t="s">
        <v>50</v>
      </c>
      <c r="AA369" s="0" t="s">
        <v>50</v>
      </c>
      <c r="AB369" s="0" t="s">
        <v>50</v>
      </c>
      <c r="AC369" s="0" t="s">
        <v>53</v>
      </c>
      <c r="AD369" s="0" t="s">
        <v>921</v>
      </c>
      <c r="AE369" s="0" t="s">
        <v>2113</v>
      </c>
      <c r="AF369" s="0" t="s">
        <v>2114</v>
      </c>
      <c r="AG369" s="0" t="s">
        <v>50</v>
      </c>
      <c r="AH369" s="0" t="s">
        <v>50</v>
      </c>
      <c r="AI369" s="0" t="s">
        <v>50</v>
      </c>
      <c r="AJ369" s="0" t="s">
        <v>50</v>
      </c>
      <c r="AK369" s="0" t="s">
        <v>50</v>
      </c>
      <c r="AL369" s="0" t="s">
        <v>50</v>
      </c>
    </row>
    <row r="370" customFormat="false" ht="13.8" hidden="false" customHeight="false" outlineLevel="0" collapsed="false">
      <c r="B370" s="0" t="str">
        <f aca="false">HYPERLINK("https://genome.ucsc.edu/cgi-bin/hgTracks?db=hg19&amp;position=chr9%3A127828243%2D127828243", "chr9:127828243")</f>
        <v>chr9:127828243</v>
      </c>
      <c r="C370" s="0" t="s">
        <v>2093</v>
      </c>
      <c r="D370" s="0" t="n">
        <v>127828243</v>
      </c>
      <c r="E370" s="0" t="n">
        <v>127828243</v>
      </c>
      <c r="F370" s="0" t="s">
        <v>40</v>
      </c>
      <c r="G370" s="0" t="s">
        <v>39</v>
      </c>
      <c r="H370" s="0" t="s">
        <v>2115</v>
      </c>
      <c r="I370" s="0" t="s">
        <v>330</v>
      </c>
      <c r="J370" s="0" t="s">
        <v>2116</v>
      </c>
      <c r="K370" s="0" t="s">
        <v>50</v>
      </c>
      <c r="L370" s="0" t="str">
        <f aca="false">HYPERLINK("https://www.ncbi.nlm.nih.gov/snp/rs779546425", "rs779546425")</f>
        <v>rs779546425</v>
      </c>
      <c r="M370" s="0" t="str">
        <f aca="false">HYPERLINK("https://www.genecards.org/Search/Keyword?queryString=%5Baliases%5D(%20SCAI%20)&amp;keywords=SCAI", "SCAI")</f>
        <v>SCAI</v>
      </c>
      <c r="N370" s="0" t="s">
        <v>80</v>
      </c>
      <c r="O370" s="0" t="s">
        <v>50</v>
      </c>
      <c r="P370" s="0" t="s">
        <v>50</v>
      </c>
      <c r="Q370" s="0" t="n">
        <v>6.5E-006</v>
      </c>
      <c r="R370" s="0" t="n">
        <v>-1</v>
      </c>
      <c r="S370" s="0" t="n">
        <v>-1</v>
      </c>
      <c r="T370" s="0" t="n">
        <v>-1</v>
      </c>
      <c r="U370" s="0" t="n">
        <v>-1</v>
      </c>
      <c r="V370" s="0" t="s">
        <v>50</v>
      </c>
      <c r="W370" s="0" t="s">
        <v>50</v>
      </c>
      <c r="X370" s="0" t="s">
        <v>49</v>
      </c>
      <c r="Y370" s="0" t="s">
        <v>82</v>
      </c>
      <c r="Z370" s="0" t="s">
        <v>50</v>
      </c>
      <c r="AA370" s="0" t="s">
        <v>50</v>
      </c>
      <c r="AB370" s="0" t="s">
        <v>50</v>
      </c>
      <c r="AC370" s="0" t="s">
        <v>53</v>
      </c>
      <c r="AD370" s="0" t="s">
        <v>54</v>
      </c>
      <c r="AE370" s="0" t="s">
        <v>2117</v>
      </c>
      <c r="AF370" s="0" t="s">
        <v>2118</v>
      </c>
      <c r="AG370" s="0" t="s">
        <v>2119</v>
      </c>
      <c r="AH370" s="0" t="s">
        <v>50</v>
      </c>
      <c r="AI370" s="0" t="s">
        <v>50</v>
      </c>
      <c r="AJ370" s="0" t="s">
        <v>50</v>
      </c>
      <c r="AK370" s="0" t="s">
        <v>50</v>
      </c>
      <c r="AL370" s="0" t="s">
        <v>50</v>
      </c>
    </row>
    <row r="371" customFormat="false" ht="13.8" hidden="false" customHeight="false" outlineLevel="0" collapsed="false">
      <c r="B371" s="0" t="str">
        <f aca="false">HYPERLINK("https://genome.ucsc.edu/cgi-bin/hgTracks?db=hg19&amp;position=chr9%3A128432213%2D128432213", "chr9:128432213")</f>
        <v>chr9:128432213</v>
      </c>
      <c r="C371" s="0" t="s">
        <v>2093</v>
      </c>
      <c r="D371" s="0" t="n">
        <v>128432213</v>
      </c>
      <c r="E371" s="0" t="n">
        <v>128432213</v>
      </c>
      <c r="F371" s="0" t="s">
        <v>74</v>
      </c>
      <c r="G371" s="0" t="s">
        <v>75</v>
      </c>
      <c r="H371" s="0" t="s">
        <v>2120</v>
      </c>
      <c r="I371" s="0" t="s">
        <v>947</v>
      </c>
      <c r="J371" s="0" t="s">
        <v>2121</v>
      </c>
      <c r="K371" s="0" t="s">
        <v>50</v>
      </c>
      <c r="L371" s="0" t="str">
        <f aca="false">HYPERLINK("https://www.ncbi.nlm.nih.gov/snp/rs200780878", "rs200780878")</f>
        <v>rs200780878</v>
      </c>
      <c r="M371" s="0" t="str">
        <f aca="false">HYPERLINK("https://www.genecards.org/Search/Keyword?queryString=%5Baliases%5D(%20MAPKAP1%20)&amp;keywords=MAPKAP1", "MAPKAP1")</f>
        <v>MAPKAP1</v>
      </c>
      <c r="N371" s="0" t="s">
        <v>80</v>
      </c>
      <c r="O371" s="0" t="s">
        <v>50</v>
      </c>
      <c r="P371" s="0" t="s">
        <v>50</v>
      </c>
      <c r="Q371" s="0" t="n">
        <v>0.0286</v>
      </c>
      <c r="R371" s="0" t="n">
        <v>0.0066</v>
      </c>
      <c r="S371" s="0" t="n">
        <v>0.0054</v>
      </c>
      <c r="T371" s="0" t="n">
        <v>-1</v>
      </c>
      <c r="U371" s="0" t="n">
        <v>0.0102</v>
      </c>
      <c r="V371" s="0" t="s">
        <v>50</v>
      </c>
      <c r="W371" s="0" t="s">
        <v>50</v>
      </c>
      <c r="X371" s="0" t="s">
        <v>81</v>
      </c>
      <c r="Y371" s="0" t="s">
        <v>82</v>
      </c>
      <c r="Z371" s="0" t="s">
        <v>50</v>
      </c>
      <c r="AA371" s="0" t="s">
        <v>50</v>
      </c>
      <c r="AB371" s="0" t="s">
        <v>50</v>
      </c>
      <c r="AC371" s="0" t="s">
        <v>53</v>
      </c>
      <c r="AD371" s="0" t="s">
        <v>54</v>
      </c>
      <c r="AE371" s="0" t="s">
        <v>2122</v>
      </c>
      <c r="AF371" s="0" t="s">
        <v>2123</v>
      </c>
      <c r="AG371" s="0" t="s">
        <v>2124</v>
      </c>
      <c r="AH371" s="0" t="s">
        <v>50</v>
      </c>
      <c r="AI371" s="0" t="s">
        <v>50</v>
      </c>
      <c r="AJ371" s="0" t="s">
        <v>50</v>
      </c>
      <c r="AK371" s="0" t="s">
        <v>50</v>
      </c>
      <c r="AL371" s="0" t="s">
        <v>50</v>
      </c>
    </row>
    <row r="372" customFormat="false" ht="13.8" hidden="false" customHeight="false" outlineLevel="0" collapsed="false">
      <c r="B372" s="0" t="str">
        <f aca="false">HYPERLINK("https://genome.ucsc.edu/cgi-bin/hgTracks?db=hg19&amp;position=chr9%3A134014643%2D134014643", "chr9:134014643")</f>
        <v>chr9:134014643</v>
      </c>
      <c r="C372" s="0" t="s">
        <v>2093</v>
      </c>
      <c r="D372" s="0" t="n">
        <v>134014643</v>
      </c>
      <c r="E372" s="0" t="n">
        <v>134014643</v>
      </c>
      <c r="F372" s="0" t="s">
        <v>40</v>
      </c>
      <c r="G372" s="0" t="s">
        <v>308</v>
      </c>
      <c r="H372" s="0" t="s">
        <v>2125</v>
      </c>
      <c r="I372" s="0" t="s">
        <v>1002</v>
      </c>
      <c r="J372" s="0" t="s">
        <v>2126</v>
      </c>
      <c r="K372" s="0" t="s">
        <v>50</v>
      </c>
      <c r="L372" s="0" t="str">
        <f aca="false">HYPERLINK("https://www.ncbi.nlm.nih.gov/snp/rs778385033", "rs778385033")</f>
        <v>rs778385033</v>
      </c>
      <c r="M372" s="0" t="str">
        <f aca="false">HYPERLINK("https://www.genecards.org/Search/Keyword?queryString=%5Baliases%5D(%20NUP214%20)&amp;keywords=NUP214", "NUP214")</f>
        <v>NUP214</v>
      </c>
      <c r="N372" s="0" t="s">
        <v>347</v>
      </c>
      <c r="O372" s="0" t="s">
        <v>50</v>
      </c>
      <c r="P372" s="0" t="s">
        <v>50</v>
      </c>
      <c r="Q372" s="0" t="n">
        <v>0.0002781</v>
      </c>
      <c r="R372" s="0" t="n">
        <v>-1</v>
      </c>
      <c r="S372" s="0" t="n">
        <v>-1</v>
      </c>
      <c r="T372" s="0" t="n">
        <v>-1</v>
      </c>
      <c r="U372" s="0" t="n">
        <v>-1</v>
      </c>
      <c r="V372" s="0" t="s">
        <v>50</v>
      </c>
      <c r="W372" s="0" t="s">
        <v>50</v>
      </c>
      <c r="X372" s="0" t="s">
        <v>50</v>
      </c>
      <c r="Y372" s="0" t="s">
        <v>50</v>
      </c>
      <c r="Z372" s="0" t="s">
        <v>50</v>
      </c>
      <c r="AA372" s="0" t="s">
        <v>50</v>
      </c>
      <c r="AB372" s="0" t="s">
        <v>50</v>
      </c>
      <c r="AC372" s="0" t="s">
        <v>53</v>
      </c>
      <c r="AD372" s="0" t="s">
        <v>54</v>
      </c>
      <c r="AE372" s="0" t="s">
        <v>2127</v>
      </c>
      <c r="AF372" s="0" t="s">
        <v>2128</v>
      </c>
      <c r="AG372" s="0" t="s">
        <v>2129</v>
      </c>
      <c r="AH372" s="0" t="s">
        <v>2130</v>
      </c>
      <c r="AI372" s="0" t="s">
        <v>50</v>
      </c>
      <c r="AJ372" s="0" t="s">
        <v>50</v>
      </c>
      <c r="AK372" s="0" t="s">
        <v>50</v>
      </c>
      <c r="AL372" s="0" t="s">
        <v>50</v>
      </c>
    </row>
    <row r="373" customFormat="false" ht="13.8" hidden="false" customHeight="false" outlineLevel="0" collapsed="false">
      <c r="B373" s="0" t="str">
        <f aca="false">HYPERLINK("https://genome.ucsc.edu/cgi-bin/hgTracks?db=hg19&amp;position=chr9%3A138710187%2D138710187", "chr9:138710187")</f>
        <v>chr9:138710187</v>
      </c>
      <c r="C373" s="0" t="s">
        <v>2093</v>
      </c>
      <c r="D373" s="0" t="n">
        <v>138710187</v>
      </c>
      <c r="E373" s="0" t="n">
        <v>138710187</v>
      </c>
      <c r="F373" s="0" t="s">
        <v>74</v>
      </c>
      <c r="G373" s="0" t="s">
        <v>39</v>
      </c>
      <c r="H373" s="0" t="s">
        <v>2131</v>
      </c>
      <c r="I373" s="0" t="s">
        <v>396</v>
      </c>
      <c r="J373" s="0" t="s">
        <v>2132</v>
      </c>
      <c r="K373" s="0" t="s">
        <v>50</v>
      </c>
      <c r="L373" s="0" t="str">
        <f aca="false">HYPERLINK("https://www.ncbi.nlm.nih.gov/snp/rs13283314", "rs13283314")</f>
        <v>rs13283314</v>
      </c>
      <c r="M373" s="0" t="str">
        <f aca="false">HYPERLINK("https://www.genecards.org/Search/Keyword?queryString=%5Baliases%5D(%20CAMSAP1%20)&amp;keywords=CAMSAP1", "CAMSAP1")</f>
        <v>CAMSAP1</v>
      </c>
      <c r="N373" s="0" t="s">
        <v>80</v>
      </c>
      <c r="O373" s="0" t="s">
        <v>50</v>
      </c>
      <c r="P373" s="0" t="s">
        <v>50</v>
      </c>
      <c r="Q373" s="0" t="n">
        <v>0.0137</v>
      </c>
      <c r="R373" s="0" t="n">
        <v>0.0146</v>
      </c>
      <c r="S373" s="0" t="n">
        <v>0.0139</v>
      </c>
      <c r="T373" s="0" t="n">
        <v>-1</v>
      </c>
      <c r="U373" s="0" t="n">
        <v>0.0152</v>
      </c>
      <c r="V373" s="0" t="s">
        <v>50</v>
      </c>
      <c r="W373" s="0" t="s">
        <v>50</v>
      </c>
      <c r="X373" s="0" t="s">
        <v>81</v>
      </c>
      <c r="Y373" s="0" t="s">
        <v>82</v>
      </c>
      <c r="Z373" s="0" t="s">
        <v>50</v>
      </c>
      <c r="AA373" s="0" t="s">
        <v>50</v>
      </c>
      <c r="AB373" s="0" t="s">
        <v>50</v>
      </c>
      <c r="AC373" s="0" t="s">
        <v>53</v>
      </c>
      <c r="AD373" s="0" t="s">
        <v>54</v>
      </c>
      <c r="AE373" s="0" t="s">
        <v>2133</v>
      </c>
      <c r="AF373" s="0" t="s">
        <v>2134</v>
      </c>
      <c r="AG373" s="0" t="s">
        <v>2135</v>
      </c>
      <c r="AH373" s="0" t="s">
        <v>50</v>
      </c>
      <c r="AI373" s="0" t="s">
        <v>50</v>
      </c>
      <c r="AJ373" s="0" t="s">
        <v>50</v>
      </c>
      <c r="AK373" s="0" t="s">
        <v>50</v>
      </c>
      <c r="AL373" s="0" t="s">
        <v>50</v>
      </c>
    </row>
    <row r="374" customFormat="false" ht="13.8" hidden="false" customHeight="false" outlineLevel="0" collapsed="false">
      <c r="B374" s="0" t="str">
        <f aca="false">HYPERLINK("https://genome.ucsc.edu/cgi-bin/hgTracks?db=hg19&amp;position=chr9%3A139912177%2D139912177", "chr9:139912177")</f>
        <v>chr9:139912177</v>
      </c>
      <c r="C374" s="0" t="s">
        <v>2093</v>
      </c>
      <c r="D374" s="0" t="n">
        <v>139912177</v>
      </c>
      <c r="E374" s="0" t="n">
        <v>139912177</v>
      </c>
      <c r="F374" s="0" t="s">
        <v>39</v>
      </c>
      <c r="G374" s="0" t="s">
        <v>40</v>
      </c>
      <c r="H374" s="0" t="s">
        <v>2060</v>
      </c>
      <c r="I374" s="0" t="s">
        <v>655</v>
      </c>
      <c r="J374" s="0" t="s">
        <v>2136</v>
      </c>
      <c r="K374" s="0" t="s">
        <v>50</v>
      </c>
      <c r="L374" s="0" t="str">
        <f aca="false">HYPERLINK("https://www.ncbi.nlm.nih.gov/snp/rs369674855", "rs369674855")</f>
        <v>rs369674855</v>
      </c>
      <c r="M374" s="0" t="str">
        <f aca="false">HYPERLINK("https://www.genecards.org/Search/Keyword?queryString=%5Baliases%5D(%20ABCA2%20)&amp;keywords=ABCA2", "ABCA2")</f>
        <v>ABCA2</v>
      </c>
      <c r="N374" s="0" t="s">
        <v>80</v>
      </c>
      <c r="O374" s="0" t="s">
        <v>50</v>
      </c>
      <c r="P374" s="0" t="s">
        <v>50</v>
      </c>
      <c r="Q374" s="0" t="n">
        <v>0.0138</v>
      </c>
      <c r="R374" s="0" t="n">
        <v>0.0014</v>
      </c>
      <c r="S374" s="0" t="n">
        <v>0.0018</v>
      </c>
      <c r="T374" s="0" t="n">
        <v>-1</v>
      </c>
      <c r="U374" s="0" t="n">
        <v>0.0022</v>
      </c>
      <c r="V374" s="0" t="s">
        <v>50</v>
      </c>
      <c r="W374" s="0" t="s">
        <v>50</v>
      </c>
      <c r="X374" s="0" t="s">
        <v>49</v>
      </c>
      <c r="Y374" s="0" t="s">
        <v>82</v>
      </c>
      <c r="Z374" s="0" t="s">
        <v>50</v>
      </c>
      <c r="AA374" s="0" t="s">
        <v>50</v>
      </c>
      <c r="AB374" s="0" t="s">
        <v>50</v>
      </c>
      <c r="AC374" s="0" t="s">
        <v>53</v>
      </c>
      <c r="AD374" s="0" t="s">
        <v>54</v>
      </c>
      <c r="AE374" s="0" t="s">
        <v>2137</v>
      </c>
      <c r="AF374" s="0" t="s">
        <v>2138</v>
      </c>
      <c r="AG374" s="0" t="s">
        <v>2139</v>
      </c>
      <c r="AH374" s="0" t="s">
        <v>50</v>
      </c>
      <c r="AI374" s="0" t="s">
        <v>50</v>
      </c>
      <c r="AJ374" s="0" t="s">
        <v>50</v>
      </c>
      <c r="AK374" s="0" t="s">
        <v>50</v>
      </c>
      <c r="AL374" s="0" t="s">
        <v>50</v>
      </c>
    </row>
    <row r="375" customFormat="false" ht="13.8" hidden="false" customHeight="false" outlineLevel="0" collapsed="false">
      <c r="B375" s="0" t="str">
        <f aca="false">HYPERLINK("https://genome.ucsc.edu/cgi-bin/hgTracks?db=hg19&amp;position=chrX%3A2772905%2D2772905", "chrX:2772905")</f>
        <v>chrX:2772905</v>
      </c>
      <c r="C375" s="0" t="s">
        <v>189</v>
      </c>
      <c r="D375" s="0" t="n">
        <v>2772905</v>
      </c>
      <c r="E375" s="0" t="n">
        <v>2772905</v>
      </c>
      <c r="F375" s="0" t="s">
        <v>74</v>
      </c>
      <c r="G375" s="0" t="s">
        <v>75</v>
      </c>
      <c r="H375" s="0" t="s">
        <v>2140</v>
      </c>
      <c r="I375" s="0" t="s">
        <v>898</v>
      </c>
      <c r="J375" s="0" t="s">
        <v>2141</v>
      </c>
      <c r="K375" s="0" t="s">
        <v>50</v>
      </c>
      <c r="L375" s="0" t="str">
        <f aca="false">HYPERLINK("https://www.ncbi.nlm.nih.gov/snp/rs189975439", "rs189975439")</f>
        <v>rs189975439</v>
      </c>
      <c r="M375" s="0" t="str">
        <f aca="false">HYPERLINK("https://www.genecards.org/Search/Keyword?queryString=%5Baliases%5D(%20GYG2%20)&amp;keywords=GYG2", "GYG2")</f>
        <v>GYG2</v>
      </c>
      <c r="N375" s="0" t="s">
        <v>80</v>
      </c>
      <c r="O375" s="0" t="s">
        <v>50</v>
      </c>
      <c r="P375" s="0" t="s">
        <v>50</v>
      </c>
      <c r="Q375" s="0" t="n">
        <v>0.0056</v>
      </c>
      <c r="R375" s="0" t="n">
        <v>0.0058</v>
      </c>
      <c r="S375" s="0" t="n">
        <v>0.0053</v>
      </c>
      <c r="T375" s="0" t="n">
        <v>-1</v>
      </c>
      <c r="U375" s="0" t="n">
        <v>0.0057</v>
      </c>
      <c r="V375" s="0" t="s">
        <v>50</v>
      </c>
      <c r="W375" s="0" t="s">
        <v>50</v>
      </c>
      <c r="X375" s="0" t="s">
        <v>49</v>
      </c>
      <c r="Y375" s="0" t="s">
        <v>82</v>
      </c>
      <c r="Z375" s="0" t="s">
        <v>50</v>
      </c>
      <c r="AA375" s="0" t="s">
        <v>50</v>
      </c>
      <c r="AB375" s="0" t="s">
        <v>50</v>
      </c>
      <c r="AC375" s="0" t="s">
        <v>53</v>
      </c>
      <c r="AD375" s="0" t="s">
        <v>54</v>
      </c>
      <c r="AE375" s="0" t="s">
        <v>2142</v>
      </c>
      <c r="AF375" s="0" t="s">
        <v>2143</v>
      </c>
      <c r="AG375" s="0" t="s">
        <v>2144</v>
      </c>
      <c r="AH375" s="0" t="s">
        <v>50</v>
      </c>
      <c r="AI375" s="0" t="s">
        <v>50</v>
      </c>
      <c r="AJ375" s="0" t="s">
        <v>50</v>
      </c>
      <c r="AK375" s="0" t="s">
        <v>50</v>
      </c>
      <c r="AL375" s="0" t="s">
        <v>50</v>
      </c>
    </row>
    <row r="376" customFormat="false" ht="13.8" hidden="false" customHeight="false" outlineLevel="0" collapsed="false">
      <c r="B376" s="0" t="str">
        <f aca="false">HYPERLINK("https://genome.ucsc.edu/cgi-bin/hgTracks?db=hg19&amp;position=chrX%3A11197288%2D11197288", "chrX:11197288")</f>
        <v>chrX:11197288</v>
      </c>
      <c r="C376" s="0" t="s">
        <v>189</v>
      </c>
      <c r="D376" s="0" t="n">
        <v>11197288</v>
      </c>
      <c r="E376" s="0" t="n">
        <v>11197288</v>
      </c>
      <c r="F376" s="0" t="s">
        <v>75</v>
      </c>
      <c r="G376" s="0" t="s">
        <v>40</v>
      </c>
      <c r="H376" s="0" t="s">
        <v>1383</v>
      </c>
      <c r="I376" s="0" t="s">
        <v>835</v>
      </c>
      <c r="J376" s="0" t="s">
        <v>2145</v>
      </c>
      <c r="K376" s="0" t="s">
        <v>50</v>
      </c>
      <c r="L376" s="0" t="str">
        <f aca="false">HYPERLINK("https://www.ncbi.nlm.nih.gov/snp/rs767481241", "rs767481241")</f>
        <v>rs767481241</v>
      </c>
      <c r="M376" s="0" t="str">
        <f aca="false">HYPERLINK("https://www.genecards.org/Search/Keyword?queryString=%5Baliases%5D(%20ARHGAP6%20)&amp;keywords=ARHGAP6", "ARHGAP6")</f>
        <v>ARHGAP6</v>
      </c>
      <c r="N376" s="0" t="s">
        <v>80</v>
      </c>
      <c r="O376" s="0" t="s">
        <v>50</v>
      </c>
      <c r="P376" s="0" t="s">
        <v>50</v>
      </c>
      <c r="Q376" s="0" t="n">
        <v>0.0035</v>
      </c>
      <c r="R376" s="0" t="n">
        <v>0.0036</v>
      </c>
      <c r="S376" s="0" t="n">
        <v>0.0028</v>
      </c>
      <c r="T376" s="0" t="n">
        <v>-1</v>
      </c>
      <c r="U376" s="0" t="n">
        <v>0.0028</v>
      </c>
      <c r="V376" s="0" t="s">
        <v>50</v>
      </c>
      <c r="W376" s="0" t="s">
        <v>50</v>
      </c>
      <c r="X376" s="0" t="s">
        <v>49</v>
      </c>
      <c r="Y376" s="0" t="s">
        <v>82</v>
      </c>
      <c r="Z376" s="0" t="s">
        <v>50</v>
      </c>
      <c r="AA376" s="0" t="s">
        <v>50</v>
      </c>
      <c r="AB376" s="0" t="s">
        <v>50</v>
      </c>
      <c r="AC376" s="0" t="s">
        <v>53</v>
      </c>
      <c r="AD376" s="0" t="s">
        <v>54</v>
      </c>
      <c r="AE376" s="0" t="s">
        <v>2146</v>
      </c>
      <c r="AF376" s="0" t="s">
        <v>2147</v>
      </c>
      <c r="AG376" s="0" t="s">
        <v>2148</v>
      </c>
      <c r="AH376" s="0" t="s">
        <v>50</v>
      </c>
      <c r="AI376" s="0" t="s">
        <v>50</v>
      </c>
      <c r="AJ376" s="0" t="s">
        <v>50</v>
      </c>
      <c r="AK376" s="0" t="s">
        <v>50</v>
      </c>
      <c r="AL376" s="0" t="s">
        <v>50</v>
      </c>
    </row>
    <row r="377" customFormat="false" ht="13.8" hidden="false" customHeight="false" outlineLevel="0" collapsed="false">
      <c r="B377" s="0" t="str">
        <f aca="false">HYPERLINK("https://genome.ucsc.edu/cgi-bin/hgTracks?db=hg19&amp;position=chrX%3A49040116%2D49040117", "chrX:49040116")</f>
        <v>chrX:49040116</v>
      </c>
      <c r="C377" s="0" t="s">
        <v>189</v>
      </c>
      <c r="D377" s="0" t="n">
        <v>49040116</v>
      </c>
      <c r="E377" s="0" t="n">
        <v>49040117</v>
      </c>
      <c r="F377" s="0" t="s">
        <v>1357</v>
      </c>
      <c r="G377" s="0" t="s">
        <v>308</v>
      </c>
      <c r="H377" s="0" t="s">
        <v>2149</v>
      </c>
      <c r="I377" s="0" t="s">
        <v>310</v>
      </c>
      <c r="J377" s="0" t="s">
        <v>2150</v>
      </c>
      <c r="K377" s="0" t="s">
        <v>50</v>
      </c>
      <c r="L377" s="0" t="str">
        <f aca="false">HYPERLINK("https://www.ncbi.nlm.nih.gov/snp/rs781868188", "rs781868188")</f>
        <v>rs781868188</v>
      </c>
      <c r="M377" s="0" t="str">
        <f aca="false">HYPERLINK("https://www.genecards.org/Search/Keyword?queryString=%5Baliases%5D(%20PRICKLE3%20)&amp;keywords=PRICKLE3", "PRICKLE3")</f>
        <v>PRICKLE3</v>
      </c>
      <c r="N377" s="0" t="s">
        <v>691</v>
      </c>
      <c r="O377" s="0" t="s">
        <v>312</v>
      </c>
      <c r="P377" s="0" t="s">
        <v>2151</v>
      </c>
      <c r="Q377" s="0" t="n">
        <v>0.008197</v>
      </c>
      <c r="R377" s="0" t="n">
        <v>0.0002</v>
      </c>
      <c r="S377" s="0" t="n">
        <v>-1</v>
      </c>
      <c r="T377" s="0" t="n">
        <v>-1</v>
      </c>
      <c r="U377" s="0" t="n">
        <v>-1</v>
      </c>
      <c r="V377" s="0" t="s">
        <v>50</v>
      </c>
      <c r="W377" s="0" t="s">
        <v>50</v>
      </c>
      <c r="X377" s="0" t="s">
        <v>50</v>
      </c>
      <c r="Y377" s="0" t="s">
        <v>50</v>
      </c>
      <c r="Z377" s="0" t="s">
        <v>50</v>
      </c>
      <c r="AA377" s="0" t="s">
        <v>50</v>
      </c>
      <c r="AB377" s="0" t="s">
        <v>50</v>
      </c>
      <c r="AC377" s="0" t="s">
        <v>53</v>
      </c>
      <c r="AD377" s="0" t="s">
        <v>54</v>
      </c>
      <c r="AE377" s="0" t="s">
        <v>2152</v>
      </c>
      <c r="AF377" s="0" t="s">
        <v>2153</v>
      </c>
      <c r="AG377" s="0" t="s">
        <v>50</v>
      </c>
      <c r="AH377" s="0" t="s">
        <v>50</v>
      </c>
      <c r="AI377" s="0" t="s">
        <v>50</v>
      </c>
      <c r="AJ377" s="0" t="s">
        <v>50</v>
      </c>
      <c r="AK377" s="0" t="s">
        <v>50</v>
      </c>
      <c r="AL377" s="0" t="s">
        <v>50</v>
      </c>
    </row>
    <row r="378" customFormat="false" ht="13.8" hidden="false" customHeight="false" outlineLevel="0" collapsed="false">
      <c r="B378" s="0" t="str">
        <f aca="false">HYPERLINK("https://genome.ucsc.edu/cgi-bin/hgTracks?db=hg19&amp;position=chrX%3A55172685%2D55172685", "chrX:55172685")</f>
        <v>chrX:55172685</v>
      </c>
      <c r="C378" s="0" t="s">
        <v>189</v>
      </c>
      <c r="D378" s="0" t="n">
        <v>55172685</v>
      </c>
      <c r="E378" s="0" t="n">
        <v>55172685</v>
      </c>
      <c r="F378" s="0" t="s">
        <v>308</v>
      </c>
      <c r="G378" s="0" t="s">
        <v>40</v>
      </c>
      <c r="H378" s="0" t="s">
        <v>2154</v>
      </c>
      <c r="I378" s="0" t="s">
        <v>2155</v>
      </c>
      <c r="J378" s="0" t="s">
        <v>2156</v>
      </c>
      <c r="K378" s="0" t="s">
        <v>50</v>
      </c>
      <c r="L378" s="0" t="s">
        <v>50</v>
      </c>
      <c r="M378" s="0" t="str">
        <f aca="false">HYPERLINK("https://www.genecards.org/Search/Keyword?queryString=%5Baliases%5D(%20FAM104B%20)&amp;keywords=FAM104B", "FAM104B")</f>
        <v>FAM104B</v>
      </c>
      <c r="N378" s="0" t="s">
        <v>92</v>
      </c>
      <c r="O378" s="0" t="s">
        <v>323</v>
      </c>
      <c r="P378" s="0" t="s">
        <v>2157</v>
      </c>
      <c r="Q378" s="0" t="n">
        <v>-1</v>
      </c>
      <c r="R378" s="0" t="n">
        <v>-1</v>
      </c>
      <c r="S378" s="0" t="n">
        <v>-1</v>
      </c>
      <c r="T378" s="0" t="n">
        <v>-1</v>
      </c>
      <c r="U378" s="0" t="n">
        <v>-1</v>
      </c>
      <c r="V378" s="0" t="s">
        <v>50</v>
      </c>
      <c r="W378" s="0" t="s">
        <v>50</v>
      </c>
      <c r="X378" s="0" t="s">
        <v>50</v>
      </c>
      <c r="Y378" s="0" t="s">
        <v>50</v>
      </c>
      <c r="Z378" s="0" t="s">
        <v>50</v>
      </c>
      <c r="AA378" s="0" t="s">
        <v>50</v>
      </c>
      <c r="AB378" s="0" t="s">
        <v>50</v>
      </c>
      <c r="AC378" s="0" t="s">
        <v>53</v>
      </c>
      <c r="AD378" s="0" t="s">
        <v>226</v>
      </c>
      <c r="AE378" s="0" t="s">
        <v>2158</v>
      </c>
      <c r="AF378" s="0" t="s">
        <v>2159</v>
      </c>
      <c r="AG378" s="0" t="s">
        <v>50</v>
      </c>
      <c r="AH378" s="0" t="s">
        <v>50</v>
      </c>
      <c r="AI378" s="0" t="s">
        <v>661</v>
      </c>
      <c r="AJ378" s="0" t="s">
        <v>50</v>
      </c>
      <c r="AK378" s="0" t="s">
        <v>50</v>
      </c>
      <c r="AL378" s="0" t="s">
        <v>474</v>
      </c>
    </row>
    <row r="379" customFormat="false" ht="13.8" hidden="false" customHeight="false" outlineLevel="0" collapsed="false">
      <c r="B379" s="0" t="str">
        <f aca="false">HYPERLINK("https://genome.ucsc.edu/cgi-bin/hgTracks?db=hg19&amp;position=chrX%3A55172689%2D55172689", "chrX:55172689")</f>
        <v>chrX:55172689</v>
      </c>
      <c r="C379" s="0" t="s">
        <v>189</v>
      </c>
      <c r="D379" s="0" t="n">
        <v>55172689</v>
      </c>
      <c r="E379" s="0" t="n">
        <v>55172689</v>
      </c>
      <c r="F379" s="0" t="s">
        <v>74</v>
      </c>
      <c r="G379" s="0" t="s">
        <v>308</v>
      </c>
      <c r="H379" s="0" t="s">
        <v>2160</v>
      </c>
      <c r="I379" s="0" t="s">
        <v>2161</v>
      </c>
      <c r="J379" s="0" t="s">
        <v>2162</v>
      </c>
      <c r="K379" s="0" t="s">
        <v>50</v>
      </c>
      <c r="L379" s="0" t="s">
        <v>50</v>
      </c>
      <c r="M379" s="0" t="str">
        <f aca="false">HYPERLINK("https://www.genecards.org/Search/Keyword?queryString=%5Baliases%5D(%20FAM104B%20)&amp;keywords=FAM104B", "FAM104B")</f>
        <v>FAM104B</v>
      </c>
      <c r="N379" s="0" t="s">
        <v>92</v>
      </c>
      <c r="O379" s="0" t="s">
        <v>312</v>
      </c>
      <c r="P379" s="0" t="s">
        <v>2163</v>
      </c>
      <c r="Q379" s="0" t="n">
        <v>-1</v>
      </c>
      <c r="R379" s="0" t="n">
        <v>-1</v>
      </c>
      <c r="S379" s="0" t="n">
        <v>-1</v>
      </c>
      <c r="T379" s="0" t="n">
        <v>-1</v>
      </c>
      <c r="U379" s="0" t="n">
        <v>-1</v>
      </c>
      <c r="V379" s="0" t="s">
        <v>50</v>
      </c>
      <c r="W379" s="0" t="s">
        <v>50</v>
      </c>
      <c r="X379" s="0" t="s">
        <v>50</v>
      </c>
      <c r="Y379" s="0" t="s">
        <v>50</v>
      </c>
      <c r="Z379" s="0" t="s">
        <v>50</v>
      </c>
      <c r="AA379" s="0" t="s">
        <v>50</v>
      </c>
      <c r="AB379" s="0" t="s">
        <v>50</v>
      </c>
      <c r="AC379" s="0" t="s">
        <v>53</v>
      </c>
      <c r="AD379" s="0" t="s">
        <v>226</v>
      </c>
      <c r="AE379" s="0" t="s">
        <v>2158</v>
      </c>
      <c r="AF379" s="0" t="s">
        <v>2159</v>
      </c>
      <c r="AG379" s="0" t="s">
        <v>50</v>
      </c>
      <c r="AH379" s="0" t="s">
        <v>50</v>
      </c>
      <c r="AI379" s="0" t="s">
        <v>50</v>
      </c>
      <c r="AJ379" s="0" t="s">
        <v>50</v>
      </c>
      <c r="AK379" s="0" t="s">
        <v>50</v>
      </c>
      <c r="AL379" s="0" t="s">
        <v>474</v>
      </c>
    </row>
    <row r="380" customFormat="false" ht="13.8" hidden="false" customHeight="false" outlineLevel="0" collapsed="false">
      <c r="B380" s="0" t="str">
        <f aca="false">HYPERLINK("https://genome.ucsc.edu/cgi-bin/hgTracks?db=hg19&amp;position=chrX%3A70375023%2D70375023", "chrX:70375023")</f>
        <v>chrX:70375023</v>
      </c>
      <c r="C380" s="0" t="s">
        <v>189</v>
      </c>
      <c r="D380" s="0" t="n">
        <v>70375023</v>
      </c>
      <c r="E380" s="0" t="n">
        <v>70375023</v>
      </c>
      <c r="F380" s="0" t="s">
        <v>74</v>
      </c>
      <c r="G380" s="0" t="s">
        <v>75</v>
      </c>
      <c r="H380" s="0" t="s">
        <v>2164</v>
      </c>
      <c r="I380" s="0" t="s">
        <v>435</v>
      </c>
      <c r="J380" s="0" t="s">
        <v>2165</v>
      </c>
      <c r="K380" s="0" t="s">
        <v>50</v>
      </c>
      <c r="L380" s="0" t="str">
        <f aca="false">HYPERLINK("https://www.ncbi.nlm.nih.gov/snp/rs185402974", "rs185402974")</f>
        <v>rs185402974</v>
      </c>
      <c r="M380" s="0" t="str">
        <f aca="false">HYPERLINK("https://www.genecards.org/Search/Keyword?queryString=%5Baliases%5D(%20NLGN3%20)&amp;keywords=NLGN3", "NLGN3")</f>
        <v>NLGN3</v>
      </c>
      <c r="N380" s="0" t="s">
        <v>80</v>
      </c>
      <c r="O380" s="0" t="s">
        <v>50</v>
      </c>
      <c r="P380" s="0" t="s">
        <v>50</v>
      </c>
      <c r="Q380" s="0" t="n">
        <v>0.0291</v>
      </c>
      <c r="R380" s="0" t="n">
        <v>0.0131</v>
      </c>
      <c r="S380" s="0" t="n">
        <v>0.0141</v>
      </c>
      <c r="T380" s="0" t="n">
        <v>-1</v>
      </c>
      <c r="U380" s="0" t="n">
        <v>0.0085</v>
      </c>
      <c r="V380" s="0" t="s">
        <v>50</v>
      </c>
      <c r="W380" s="0" t="s">
        <v>50</v>
      </c>
      <c r="X380" s="0" t="s">
        <v>81</v>
      </c>
      <c r="Y380" s="0" t="s">
        <v>82</v>
      </c>
      <c r="Z380" s="0" t="s">
        <v>50</v>
      </c>
      <c r="AA380" s="0" t="s">
        <v>50</v>
      </c>
      <c r="AB380" s="0" t="s">
        <v>50</v>
      </c>
      <c r="AC380" s="0" t="s">
        <v>53</v>
      </c>
      <c r="AD380" s="0" t="s">
        <v>54</v>
      </c>
      <c r="AE380" s="0" t="s">
        <v>2166</v>
      </c>
      <c r="AF380" s="0" t="s">
        <v>2167</v>
      </c>
      <c r="AG380" s="0" t="s">
        <v>2168</v>
      </c>
      <c r="AH380" s="0" t="s">
        <v>2169</v>
      </c>
      <c r="AI380" s="0" t="s">
        <v>50</v>
      </c>
      <c r="AJ380" s="0" t="s">
        <v>50</v>
      </c>
      <c r="AK380" s="0" t="s">
        <v>50</v>
      </c>
      <c r="AL380" s="0" t="s">
        <v>50</v>
      </c>
    </row>
    <row r="381" customFormat="false" ht="13.8" hidden="false" customHeight="false" outlineLevel="0" collapsed="false">
      <c r="B381" s="0" t="str">
        <f aca="false">HYPERLINK("https://genome.ucsc.edu/cgi-bin/hgTracks?db=hg19&amp;position=chrX%3A70639873%2D70639873", "chrX:70639873")</f>
        <v>chrX:70639873</v>
      </c>
      <c r="C381" s="0" t="s">
        <v>189</v>
      </c>
      <c r="D381" s="0" t="n">
        <v>70639873</v>
      </c>
      <c r="E381" s="0" t="n">
        <v>70639873</v>
      </c>
      <c r="F381" s="0" t="s">
        <v>40</v>
      </c>
      <c r="G381" s="0" t="s">
        <v>308</v>
      </c>
      <c r="H381" s="0" t="s">
        <v>1233</v>
      </c>
      <c r="I381" s="0" t="s">
        <v>703</v>
      </c>
      <c r="J381" s="0" t="s">
        <v>1311</v>
      </c>
      <c r="K381" s="0" t="s">
        <v>50</v>
      </c>
      <c r="L381" s="0" t="s">
        <v>50</v>
      </c>
      <c r="M381" s="0" t="str">
        <f aca="false">HYPERLINK("https://www.genecards.org/Search/Keyword?queryString=%5Baliases%5D(%20BCYRN1%20)%20OR%20%5Baliases%5D(%20TAF1%20)&amp;keywords=BCYRN1,TAF1", "BCYRN1;TAF1")</f>
        <v>BCYRN1;TAF1</v>
      </c>
      <c r="N381" s="0" t="s">
        <v>347</v>
      </c>
      <c r="O381" s="0" t="s">
        <v>50</v>
      </c>
      <c r="P381" s="0" t="s">
        <v>50</v>
      </c>
      <c r="Q381" s="0" t="n">
        <v>0.0199</v>
      </c>
      <c r="R381" s="0" t="n">
        <v>0.0111</v>
      </c>
      <c r="S381" s="0" t="n">
        <v>0.0034</v>
      </c>
      <c r="T381" s="0" t="n">
        <v>-1</v>
      </c>
      <c r="U381" s="0" t="n">
        <v>0.0147</v>
      </c>
      <c r="V381" s="0" t="s">
        <v>50</v>
      </c>
      <c r="W381" s="0" t="s">
        <v>50</v>
      </c>
      <c r="X381" s="0" t="s">
        <v>50</v>
      </c>
      <c r="Y381" s="0" t="s">
        <v>50</v>
      </c>
      <c r="Z381" s="0" t="s">
        <v>50</v>
      </c>
      <c r="AA381" s="0" t="s">
        <v>50</v>
      </c>
      <c r="AB381" s="0" t="s">
        <v>50</v>
      </c>
      <c r="AC381" s="0" t="s">
        <v>53</v>
      </c>
      <c r="AD381" s="0" t="s">
        <v>2170</v>
      </c>
      <c r="AE381" s="0" t="s">
        <v>2171</v>
      </c>
      <c r="AF381" s="0" t="s">
        <v>2172</v>
      </c>
      <c r="AG381" s="0" t="s">
        <v>2173</v>
      </c>
      <c r="AH381" s="0" t="s">
        <v>2174</v>
      </c>
      <c r="AI381" s="0" t="s">
        <v>50</v>
      </c>
      <c r="AJ381" s="0" t="s">
        <v>50</v>
      </c>
      <c r="AK381" s="0" t="s">
        <v>50</v>
      </c>
      <c r="AL381" s="0" t="s">
        <v>50</v>
      </c>
    </row>
    <row r="382" customFormat="false" ht="13.8" hidden="false" customHeight="false" outlineLevel="0" collapsed="false">
      <c r="B382" s="0" t="str">
        <f aca="false">HYPERLINK("https://genome.ucsc.edu/cgi-bin/hgTracks?db=hg19&amp;position=chrX%3A70644265%2D70644265", "chrX:70644265")</f>
        <v>chrX:70644265</v>
      </c>
      <c r="C382" s="0" t="s">
        <v>189</v>
      </c>
      <c r="D382" s="0" t="n">
        <v>70644265</v>
      </c>
      <c r="E382" s="0" t="n">
        <v>70644265</v>
      </c>
      <c r="F382" s="0" t="s">
        <v>40</v>
      </c>
      <c r="G382" s="0" t="s">
        <v>308</v>
      </c>
      <c r="H382" s="0" t="s">
        <v>2175</v>
      </c>
      <c r="I382" s="0" t="s">
        <v>551</v>
      </c>
      <c r="J382" s="0" t="s">
        <v>2176</v>
      </c>
      <c r="K382" s="0" t="s">
        <v>50</v>
      </c>
      <c r="L382" s="0" t="s">
        <v>50</v>
      </c>
      <c r="M382" s="0" t="str">
        <f aca="false">HYPERLINK("https://www.genecards.org/Search/Keyword?queryString=%5Baliases%5D(%20BCYRN1%20)%20OR%20%5Baliases%5D(%20TAF1%20)&amp;keywords=BCYRN1,TAF1", "BCYRN1;TAF1")</f>
        <v>BCYRN1;TAF1</v>
      </c>
      <c r="N382" s="0" t="s">
        <v>347</v>
      </c>
      <c r="O382" s="0" t="s">
        <v>50</v>
      </c>
      <c r="P382" s="0" t="s">
        <v>50</v>
      </c>
      <c r="Q382" s="0" t="n">
        <v>0.0251</v>
      </c>
      <c r="R382" s="0" t="n">
        <v>0.0248</v>
      </c>
      <c r="S382" s="0" t="n">
        <v>0.0395</v>
      </c>
      <c r="T382" s="0" t="n">
        <v>-1</v>
      </c>
      <c r="U382" s="0" t="n">
        <v>0.0317</v>
      </c>
      <c r="V382" s="0" t="s">
        <v>50</v>
      </c>
      <c r="W382" s="0" t="s">
        <v>50</v>
      </c>
      <c r="X382" s="0" t="s">
        <v>50</v>
      </c>
      <c r="Y382" s="0" t="s">
        <v>50</v>
      </c>
      <c r="Z382" s="0" t="s">
        <v>50</v>
      </c>
      <c r="AA382" s="0" t="s">
        <v>50</v>
      </c>
      <c r="AB382" s="0" t="s">
        <v>50</v>
      </c>
      <c r="AC382" s="0" t="s">
        <v>156</v>
      </c>
      <c r="AD382" s="0" t="s">
        <v>2170</v>
      </c>
      <c r="AE382" s="0" t="s">
        <v>2171</v>
      </c>
      <c r="AF382" s="0" t="s">
        <v>2172</v>
      </c>
      <c r="AG382" s="0" t="s">
        <v>2173</v>
      </c>
      <c r="AH382" s="0" t="s">
        <v>2174</v>
      </c>
      <c r="AI382" s="0" t="s">
        <v>50</v>
      </c>
      <c r="AJ382" s="0" t="s">
        <v>50</v>
      </c>
      <c r="AK382" s="0" t="s">
        <v>50</v>
      </c>
      <c r="AL382" s="0" t="s">
        <v>50</v>
      </c>
    </row>
    <row r="383" customFormat="false" ht="13.8" hidden="false" customHeight="false" outlineLevel="0" collapsed="false">
      <c r="B383" s="0" t="str">
        <f aca="false">HYPERLINK("https://genome.ucsc.edu/cgi-bin/hgTracks?db=hg19&amp;position=chrX%3A70779296%2D70779296", "chrX:70779296")</f>
        <v>chrX:70779296</v>
      </c>
      <c r="C383" s="0" t="s">
        <v>189</v>
      </c>
      <c r="D383" s="0" t="n">
        <v>70779296</v>
      </c>
      <c r="E383" s="0" t="n">
        <v>70779296</v>
      </c>
      <c r="F383" s="0" t="s">
        <v>74</v>
      </c>
      <c r="G383" s="0" t="s">
        <v>39</v>
      </c>
      <c r="H383" s="0" t="s">
        <v>2177</v>
      </c>
      <c r="I383" s="0" t="s">
        <v>212</v>
      </c>
      <c r="J383" s="0" t="s">
        <v>213</v>
      </c>
      <c r="K383" s="0" t="s">
        <v>50</v>
      </c>
      <c r="L383" s="0" t="str">
        <f aca="false">HYPERLINK("https://www.ncbi.nlm.nih.gov/snp/rs192094088", "rs192094088")</f>
        <v>rs192094088</v>
      </c>
      <c r="M383" s="0" t="str">
        <f aca="false">HYPERLINK("https://www.genecards.org/Search/Keyword?queryString=%5Baliases%5D(%20BCYRN1%20)%20OR%20%5Baliases%5D(%20OGT%20)&amp;keywords=BCYRN1,OGT", "BCYRN1;OGT")</f>
        <v>BCYRN1;OGT</v>
      </c>
      <c r="N383" s="0" t="s">
        <v>347</v>
      </c>
      <c r="O383" s="0" t="s">
        <v>50</v>
      </c>
      <c r="P383" s="0" t="s">
        <v>50</v>
      </c>
      <c r="Q383" s="0" t="n">
        <v>0.0251</v>
      </c>
      <c r="R383" s="0" t="n">
        <v>0.0045</v>
      </c>
      <c r="S383" s="0" t="n">
        <v>0.0047</v>
      </c>
      <c r="T383" s="0" t="n">
        <v>-1</v>
      </c>
      <c r="U383" s="0" t="n">
        <v>0.0111</v>
      </c>
      <c r="V383" s="0" t="s">
        <v>50</v>
      </c>
      <c r="W383" s="0" t="s">
        <v>50</v>
      </c>
      <c r="X383" s="0" t="s">
        <v>348</v>
      </c>
      <c r="Y383" s="0" t="s">
        <v>82</v>
      </c>
      <c r="Z383" s="0" t="s">
        <v>50</v>
      </c>
      <c r="AA383" s="0" t="s">
        <v>50</v>
      </c>
      <c r="AB383" s="0" t="s">
        <v>50</v>
      </c>
      <c r="AC383" s="0" t="s">
        <v>53</v>
      </c>
      <c r="AD383" s="0" t="s">
        <v>2178</v>
      </c>
      <c r="AE383" s="0" t="s">
        <v>2179</v>
      </c>
      <c r="AF383" s="0" t="s">
        <v>2180</v>
      </c>
      <c r="AG383" s="0" t="s">
        <v>2181</v>
      </c>
      <c r="AH383" s="0" t="s">
        <v>2182</v>
      </c>
      <c r="AI383" s="0" t="s">
        <v>50</v>
      </c>
      <c r="AJ383" s="0" t="s">
        <v>50</v>
      </c>
      <c r="AK383" s="0" t="s">
        <v>50</v>
      </c>
      <c r="AL383" s="0" t="s">
        <v>50</v>
      </c>
    </row>
    <row r="384" customFormat="false" ht="13.8" hidden="false" customHeight="false" outlineLevel="0" collapsed="false">
      <c r="B384" s="0" t="str">
        <f aca="false">HYPERLINK("https://genome.ucsc.edu/cgi-bin/hgTracks?db=hg19&amp;position=chrX%3A74293828%2D74293828", "chrX:74293828")</f>
        <v>chrX:74293828</v>
      </c>
      <c r="C384" s="0" t="s">
        <v>189</v>
      </c>
      <c r="D384" s="0" t="n">
        <v>74293828</v>
      </c>
      <c r="E384" s="0" t="n">
        <v>74293828</v>
      </c>
      <c r="F384" s="0" t="s">
        <v>40</v>
      </c>
      <c r="G384" s="0" t="s">
        <v>39</v>
      </c>
      <c r="H384" s="0" t="s">
        <v>2183</v>
      </c>
      <c r="I384" s="0" t="s">
        <v>2184</v>
      </c>
      <c r="J384" s="0" t="s">
        <v>2185</v>
      </c>
      <c r="K384" s="0" t="s">
        <v>50</v>
      </c>
      <c r="L384" s="0" t="str">
        <f aca="false">HYPERLINK("https://www.ncbi.nlm.nih.gov/snp/rs190165721", "rs190165721")</f>
        <v>rs190165721</v>
      </c>
      <c r="M384" s="0" t="str">
        <f aca="false">HYPERLINK("https://www.genecards.org/Search/Keyword?queryString=%5Baliases%5D(%20ABCB7%20)&amp;keywords=ABCB7", "ABCB7")</f>
        <v>ABCB7</v>
      </c>
      <c r="N384" s="0" t="s">
        <v>80</v>
      </c>
      <c r="O384" s="0" t="s">
        <v>50</v>
      </c>
      <c r="P384" s="0" t="s">
        <v>50</v>
      </c>
      <c r="Q384" s="0" t="n">
        <v>0.0282</v>
      </c>
      <c r="R384" s="0" t="n">
        <v>0.0046</v>
      </c>
      <c r="S384" s="0" t="n">
        <v>0.0049</v>
      </c>
      <c r="T384" s="0" t="n">
        <v>-1</v>
      </c>
      <c r="U384" s="0" t="n">
        <v>0.0057</v>
      </c>
      <c r="V384" s="0" t="s">
        <v>50</v>
      </c>
      <c r="W384" s="0" t="s">
        <v>50</v>
      </c>
      <c r="X384" s="0" t="s">
        <v>81</v>
      </c>
      <c r="Y384" s="0" t="s">
        <v>82</v>
      </c>
      <c r="Z384" s="0" t="s">
        <v>50</v>
      </c>
      <c r="AA384" s="0" t="s">
        <v>50</v>
      </c>
      <c r="AB384" s="0" t="s">
        <v>50</v>
      </c>
      <c r="AC384" s="0" t="s">
        <v>53</v>
      </c>
      <c r="AD384" s="0" t="s">
        <v>54</v>
      </c>
      <c r="AE384" s="0" t="s">
        <v>2186</v>
      </c>
      <c r="AF384" s="0" t="s">
        <v>2187</v>
      </c>
      <c r="AG384" s="0" t="s">
        <v>2188</v>
      </c>
      <c r="AH384" s="0" t="s">
        <v>2189</v>
      </c>
      <c r="AI384" s="0" t="s">
        <v>50</v>
      </c>
      <c r="AJ384" s="0" t="s">
        <v>50</v>
      </c>
      <c r="AK384" s="0" t="s">
        <v>50</v>
      </c>
      <c r="AL384" s="0" t="s">
        <v>50</v>
      </c>
    </row>
    <row r="385" customFormat="false" ht="13.8" hidden="false" customHeight="false" outlineLevel="0" collapsed="false">
      <c r="B385" s="0" t="str">
        <f aca="false">HYPERLINK("https://genome.ucsc.edu/cgi-bin/hgTracks?db=hg19&amp;position=chrX%3A130219373%2D130219373", "chrX:130219373")</f>
        <v>chrX:130219373</v>
      </c>
      <c r="C385" s="0" t="s">
        <v>189</v>
      </c>
      <c r="D385" s="0" t="n">
        <v>130219373</v>
      </c>
      <c r="E385" s="0" t="n">
        <v>130219373</v>
      </c>
      <c r="F385" s="0" t="s">
        <v>74</v>
      </c>
      <c r="G385" s="0" t="s">
        <v>75</v>
      </c>
      <c r="H385" s="0" t="s">
        <v>2190</v>
      </c>
      <c r="I385" s="0" t="s">
        <v>721</v>
      </c>
      <c r="J385" s="0" t="s">
        <v>722</v>
      </c>
      <c r="K385" s="0" t="s">
        <v>50</v>
      </c>
      <c r="L385" s="0" t="str">
        <f aca="false">HYPERLINK("https://www.ncbi.nlm.nih.gov/snp/rs112788734", "rs112788734")</f>
        <v>rs112788734</v>
      </c>
      <c r="M385" s="0" t="str">
        <f aca="false">HYPERLINK("https://www.genecards.org/Search/Keyword?queryString=%5Baliases%5D(%20ARHGAP36%20)&amp;keywords=ARHGAP36", "ARHGAP36")</f>
        <v>ARHGAP36</v>
      </c>
      <c r="N385" s="0" t="s">
        <v>80</v>
      </c>
      <c r="O385" s="0" t="s">
        <v>50</v>
      </c>
      <c r="P385" s="0" t="s">
        <v>50</v>
      </c>
      <c r="Q385" s="0" t="n">
        <v>0.0227</v>
      </c>
      <c r="R385" s="0" t="n">
        <v>0.0105</v>
      </c>
      <c r="S385" s="0" t="n">
        <v>0.0108</v>
      </c>
      <c r="T385" s="0" t="n">
        <v>-1</v>
      </c>
      <c r="U385" s="0" t="n">
        <v>0.0121</v>
      </c>
      <c r="V385" s="0" t="s">
        <v>50</v>
      </c>
      <c r="W385" s="0" t="s">
        <v>50</v>
      </c>
      <c r="X385" s="0" t="s">
        <v>81</v>
      </c>
      <c r="Y385" s="0" t="s">
        <v>82</v>
      </c>
      <c r="Z385" s="0" t="s">
        <v>50</v>
      </c>
      <c r="AA385" s="0" t="s">
        <v>50</v>
      </c>
      <c r="AB385" s="0" t="s">
        <v>50</v>
      </c>
      <c r="AC385" s="0" t="s">
        <v>53</v>
      </c>
      <c r="AD385" s="0" t="s">
        <v>54</v>
      </c>
      <c r="AE385" s="0" t="s">
        <v>2191</v>
      </c>
      <c r="AF385" s="0" t="s">
        <v>2192</v>
      </c>
      <c r="AG385" s="0" t="s">
        <v>2193</v>
      </c>
      <c r="AH385" s="0" t="s">
        <v>50</v>
      </c>
      <c r="AI385" s="0" t="s">
        <v>50</v>
      </c>
      <c r="AJ385" s="0" t="s">
        <v>50</v>
      </c>
      <c r="AK385" s="0" t="s">
        <v>50</v>
      </c>
      <c r="AL385" s="0" t="s">
        <v>50</v>
      </c>
    </row>
    <row r="386" customFormat="false" ht="13.8" hidden="false" customHeight="false" outlineLevel="0" collapsed="false">
      <c r="B386" s="0" t="str">
        <f aca="false">HYPERLINK("https://genome.ucsc.edu/cgi-bin/hgTracks?db=hg19&amp;position=chrX%3A133981508%2D133981508", "chrX:133981508")</f>
        <v>chrX:133981508</v>
      </c>
      <c r="C386" s="0" t="s">
        <v>189</v>
      </c>
      <c r="D386" s="0" t="n">
        <v>133981508</v>
      </c>
      <c r="E386" s="0" t="n">
        <v>133981508</v>
      </c>
      <c r="F386" s="0" t="s">
        <v>75</v>
      </c>
      <c r="G386" s="0" t="s">
        <v>74</v>
      </c>
      <c r="H386" s="0" t="s">
        <v>2194</v>
      </c>
      <c r="I386" s="0" t="s">
        <v>786</v>
      </c>
      <c r="J386" s="0" t="s">
        <v>2195</v>
      </c>
      <c r="K386" s="0" t="s">
        <v>50</v>
      </c>
      <c r="L386" s="0" t="str">
        <f aca="false">HYPERLINK("https://www.ncbi.nlm.nih.gov/snp/rs199713226", "rs199713226")</f>
        <v>rs199713226</v>
      </c>
      <c r="M386" s="0" t="str">
        <f aca="false">HYPERLINK("https://www.genecards.org/Search/Keyword?queryString=%5Baliases%5D(%20FAM122C%20)&amp;keywords=FAM122C", "FAM122C")</f>
        <v>FAM122C</v>
      </c>
      <c r="N386" s="0" t="s">
        <v>80</v>
      </c>
      <c r="O386" s="0" t="s">
        <v>50</v>
      </c>
      <c r="P386" s="0" t="s">
        <v>50</v>
      </c>
      <c r="Q386" s="0" t="n">
        <v>0.005988</v>
      </c>
      <c r="R386" s="0" t="n">
        <v>0.0044</v>
      </c>
      <c r="S386" s="0" t="n">
        <v>0.0051</v>
      </c>
      <c r="T386" s="0" t="n">
        <v>-1</v>
      </c>
      <c r="U386" s="0" t="n">
        <v>0.0018</v>
      </c>
      <c r="V386" s="0" t="s">
        <v>50</v>
      </c>
      <c r="W386" s="0" t="s">
        <v>40</v>
      </c>
      <c r="X386" s="0" t="s">
        <v>49</v>
      </c>
      <c r="Y386" s="0" t="s">
        <v>67</v>
      </c>
      <c r="Z386" s="0" t="s">
        <v>50</v>
      </c>
      <c r="AA386" s="0" t="s">
        <v>50</v>
      </c>
      <c r="AB386" s="0" t="s">
        <v>50</v>
      </c>
      <c r="AC386" s="0" t="s">
        <v>53</v>
      </c>
      <c r="AD386" s="0" t="s">
        <v>54</v>
      </c>
      <c r="AE386" s="0" t="s">
        <v>2196</v>
      </c>
      <c r="AF386" s="0" t="s">
        <v>2197</v>
      </c>
      <c r="AG386" s="0" t="s">
        <v>50</v>
      </c>
      <c r="AH386" s="0" t="s">
        <v>50</v>
      </c>
      <c r="AI386" s="0" t="s">
        <v>50</v>
      </c>
      <c r="AJ386" s="0" t="s">
        <v>50</v>
      </c>
      <c r="AK386" s="0" t="s">
        <v>50</v>
      </c>
      <c r="AL386" s="0" t="s">
        <v>50</v>
      </c>
    </row>
    <row r="387" customFormat="false" ht="13.8" hidden="false" customHeight="false" outlineLevel="0" collapsed="false">
      <c r="B387" s="0" t="str">
        <f aca="false">HYPERLINK("https://genome.ucsc.edu/cgi-bin/hgTracks?db=hg19&amp;position=chrX%3A140336318%2D140336318", "chrX:140336318")</f>
        <v>chrX:140336318</v>
      </c>
      <c r="C387" s="0" t="s">
        <v>189</v>
      </c>
      <c r="D387" s="0" t="n">
        <v>140336318</v>
      </c>
      <c r="E387" s="0" t="n">
        <v>140336318</v>
      </c>
      <c r="F387" s="0" t="s">
        <v>74</v>
      </c>
      <c r="G387" s="0" t="s">
        <v>40</v>
      </c>
      <c r="H387" s="0" t="s">
        <v>2198</v>
      </c>
      <c r="I387" s="0" t="s">
        <v>824</v>
      </c>
      <c r="J387" s="0" t="s">
        <v>2199</v>
      </c>
      <c r="K387" s="0" t="s">
        <v>50</v>
      </c>
      <c r="L387" s="0" t="str">
        <f aca="false">HYPERLINK("https://www.ncbi.nlm.nih.gov/snp/rs3876179", "rs3876179")</f>
        <v>rs3876179</v>
      </c>
      <c r="M387" s="0" t="str">
        <f aca="false">HYPERLINK("https://www.genecards.org/Search/Keyword?queryString=%5Baliases%5D(%20SPANXC%20)&amp;keywords=SPANXC", "SPANXC")</f>
        <v>SPANXC</v>
      </c>
      <c r="N387" s="0" t="s">
        <v>1465</v>
      </c>
      <c r="O387" s="0" t="s">
        <v>50</v>
      </c>
      <c r="P387" s="0" t="s">
        <v>2200</v>
      </c>
      <c r="Q387" s="0" t="n">
        <v>0.0261</v>
      </c>
      <c r="R387" s="0" t="n">
        <v>0.0165</v>
      </c>
      <c r="S387" s="0" t="n">
        <v>0.016</v>
      </c>
      <c r="T387" s="0" t="n">
        <v>-1</v>
      </c>
      <c r="U387" s="0" t="n">
        <v>0.0175</v>
      </c>
      <c r="V387" s="0" t="s">
        <v>50</v>
      </c>
      <c r="W387" s="0" t="s">
        <v>50</v>
      </c>
      <c r="X387" s="0" t="s">
        <v>81</v>
      </c>
      <c r="Y387" s="0" t="s">
        <v>82</v>
      </c>
      <c r="Z387" s="0" t="s">
        <v>50</v>
      </c>
      <c r="AA387" s="0" t="s">
        <v>50</v>
      </c>
      <c r="AB387" s="0" t="s">
        <v>50</v>
      </c>
      <c r="AC387" s="0" t="s">
        <v>53</v>
      </c>
      <c r="AD387" s="0" t="s">
        <v>54</v>
      </c>
      <c r="AE387" s="0" t="s">
        <v>2201</v>
      </c>
      <c r="AF387" s="0" t="s">
        <v>2202</v>
      </c>
      <c r="AG387" s="0" t="s">
        <v>50</v>
      </c>
      <c r="AH387" s="0" t="s">
        <v>50</v>
      </c>
      <c r="AI387" s="0" t="s">
        <v>50</v>
      </c>
      <c r="AJ387" s="0" t="s">
        <v>50</v>
      </c>
      <c r="AK387" s="0" t="s">
        <v>50</v>
      </c>
      <c r="AL387" s="0" t="s">
        <v>50</v>
      </c>
    </row>
    <row r="388" customFormat="false" ht="13.8" hidden="false" customHeight="false" outlineLevel="0" collapsed="false">
      <c r="B388" s="0" t="str">
        <f aca="false">HYPERLINK("https://genome.ucsc.edu/cgi-bin/hgTracks?db=hg19&amp;position=chrX%3A153010190%2D153010190", "chrX:153010190")</f>
        <v>chrX:153010190</v>
      </c>
      <c r="C388" s="0" t="s">
        <v>189</v>
      </c>
      <c r="D388" s="0" t="n">
        <v>153010190</v>
      </c>
      <c r="E388" s="0" t="n">
        <v>153010190</v>
      </c>
      <c r="F388" s="0" t="s">
        <v>39</v>
      </c>
      <c r="G388" s="0" t="s">
        <v>40</v>
      </c>
      <c r="H388" s="0" t="s">
        <v>2203</v>
      </c>
      <c r="I388" s="0" t="s">
        <v>1402</v>
      </c>
      <c r="J388" s="0" t="s">
        <v>2204</v>
      </c>
      <c r="K388" s="0" t="s">
        <v>50</v>
      </c>
      <c r="L388" s="0" t="str">
        <f aca="false">HYPERLINK("https://www.ncbi.nlm.nih.gov/snp/rs879949945", "rs879949945")</f>
        <v>rs879949945</v>
      </c>
      <c r="M388" s="0" t="str">
        <f aca="false">HYPERLINK("https://www.genecards.org/Search/Keyword?queryString=%5Baliases%5D(%20ABCD1%20)&amp;keywords=ABCD1", "ABCD1")</f>
        <v>ABCD1</v>
      </c>
      <c r="N388" s="0" t="s">
        <v>282</v>
      </c>
      <c r="O388" s="0" t="s">
        <v>50</v>
      </c>
      <c r="P388" s="0" t="s">
        <v>2205</v>
      </c>
      <c r="Q388" s="0" t="n">
        <v>0.0025</v>
      </c>
      <c r="R388" s="0" t="n">
        <v>-1</v>
      </c>
      <c r="S388" s="0" t="n">
        <v>-1</v>
      </c>
      <c r="T388" s="0" t="n">
        <v>-1</v>
      </c>
      <c r="U388" s="0" t="n">
        <v>-1</v>
      </c>
      <c r="V388" s="0" t="s">
        <v>50</v>
      </c>
      <c r="W388" s="0" t="s">
        <v>50</v>
      </c>
      <c r="X388" s="0" t="s">
        <v>50</v>
      </c>
      <c r="Y388" s="0" t="s">
        <v>50</v>
      </c>
      <c r="Z388" s="0" t="s">
        <v>50</v>
      </c>
      <c r="AA388" s="0" t="s">
        <v>50</v>
      </c>
      <c r="AB388" s="0" t="s">
        <v>50</v>
      </c>
      <c r="AC388" s="0" t="s">
        <v>53</v>
      </c>
      <c r="AD388" s="0" t="s">
        <v>54</v>
      </c>
      <c r="AE388" s="0" t="s">
        <v>2206</v>
      </c>
      <c r="AF388" s="0" t="s">
        <v>2207</v>
      </c>
      <c r="AG388" s="0" t="s">
        <v>2208</v>
      </c>
      <c r="AH388" s="0" t="s">
        <v>2209</v>
      </c>
      <c r="AI388" s="0" t="s">
        <v>50</v>
      </c>
      <c r="AJ388" s="0" t="s">
        <v>50</v>
      </c>
      <c r="AK388" s="0" t="s">
        <v>50</v>
      </c>
      <c r="AL388" s="0" t="s">
        <v>50</v>
      </c>
    </row>
    <row r="389" customFormat="false" ht="13.8" hidden="false" customHeight="false" outlineLevel="0" collapsed="false">
      <c r="B389" s="0" t="str">
        <f aca="false">HYPERLINK("https://genome.ucsc.edu/cgi-bin/hgTracks?db=hg19&amp;position=chrY%3A13500604%2D13500604", "chrY:13500604")</f>
        <v>chrY:13500604</v>
      </c>
      <c r="C389" s="0" t="s">
        <v>2210</v>
      </c>
      <c r="D389" s="0" t="n">
        <v>13500604</v>
      </c>
      <c r="E389" s="0" t="n">
        <v>13500604</v>
      </c>
      <c r="F389" s="0" t="s">
        <v>75</v>
      </c>
      <c r="G389" s="0" t="s">
        <v>40</v>
      </c>
      <c r="H389" s="0" t="s">
        <v>2211</v>
      </c>
      <c r="I389" s="0" t="s">
        <v>801</v>
      </c>
      <c r="J389" s="0" t="s">
        <v>1133</v>
      </c>
      <c r="K389" s="0" t="s">
        <v>50</v>
      </c>
      <c r="L389" s="0" t="str">
        <f aca="false">HYPERLINK("https://www.ncbi.nlm.nih.gov/snp/rs76826769", "rs76826769")</f>
        <v>rs76826769</v>
      </c>
      <c r="M389" s="0" t="s">
        <v>50</v>
      </c>
      <c r="N389" s="0" t="s">
        <v>1465</v>
      </c>
      <c r="O389" s="0" t="s">
        <v>50</v>
      </c>
      <c r="P389" s="0" t="s">
        <v>2212</v>
      </c>
      <c r="Q389" s="0" t="n">
        <v>0.0001617</v>
      </c>
      <c r="R389" s="0" t="n">
        <v>-1</v>
      </c>
      <c r="S389" s="0" t="n">
        <v>-1</v>
      </c>
      <c r="T389" s="0" t="n">
        <v>-1</v>
      </c>
      <c r="U389" s="0" t="n">
        <v>-1</v>
      </c>
      <c r="V389" s="0" t="s">
        <v>50</v>
      </c>
      <c r="W389" s="0" t="s">
        <v>50</v>
      </c>
      <c r="X389" s="0" t="s">
        <v>49</v>
      </c>
      <c r="Y389" s="0" t="s">
        <v>82</v>
      </c>
      <c r="Z389" s="0" t="s">
        <v>50</v>
      </c>
      <c r="AA389" s="0" t="s">
        <v>50</v>
      </c>
      <c r="AB389" s="0" t="s">
        <v>50</v>
      </c>
      <c r="AC389" s="0" t="s">
        <v>53</v>
      </c>
      <c r="AD389" s="0" t="s">
        <v>1058</v>
      </c>
      <c r="AE389" s="0" t="s">
        <v>50</v>
      </c>
      <c r="AF389" s="0" t="s">
        <v>50</v>
      </c>
      <c r="AG389" s="0" t="s">
        <v>50</v>
      </c>
      <c r="AH389" s="0" t="s">
        <v>50</v>
      </c>
      <c r="AI389" s="0" t="s">
        <v>632</v>
      </c>
      <c r="AJ389" s="0" t="s">
        <v>50</v>
      </c>
      <c r="AK389" s="0" t="s">
        <v>50</v>
      </c>
      <c r="AL389" s="0" t="s">
        <v>50</v>
      </c>
    </row>
    <row r="390" customFormat="false" ht="13.8" hidden="false" customHeight="false" outlineLevel="0" collapsed="false">
      <c r="B390" s="0" t="str">
        <f aca="false">HYPERLINK("https://genome.ucsc.edu/cgi-bin/hgTracks?db=hg19&amp;position=chrY%3A13500658%2D13500658", "chrY:13500658")</f>
        <v>chrY:13500658</v>
      </c>
      <c r="C390" s="0" t="s">
        <v>2210</v>
      </c>
      <c r="D390" s="0" t="n">
        <v>13500658</v>
      </c>
      <c r="E390" s="0" t="n">
        <v>13500658</v>
      </c>
      <c r="F390" s="0" t="s">
        <v>40</v>
      </c>
      <c r="G390" s="0" t="s">
        <v>75</v>
      </c>
      <c r="H390" s="0" t="s">
        <v>2211</v>
      </c>
      <c r="I390" s="0" t="s">
        <v>801</v>
      </c>
      <c r="J390" s="0" t="s">
        <v>1133</v>
      </c>
      <c r="K390" s="0" t="s">
        <v>50</v>
      </c>
      <c r="L390" s="0" t="str">
        <f aca="false">HYPERLINK("https://www.ncbi.nlm.nih.gov/snp/rs373109292", "rs373109292")</f>
        <v>rs373109292</v>
      </c>
      <c r="M390" s="0" t="s">
        <v>50</v>
      </c>
      <c r="N390" s="0" t="s">
        <v>478</v>
      </c>
      <c r="O390" s="0" t="s">
        <v>93</v>
      </c>
      <c r="P390" s="0" t="s">
        <v>2213</v>
      </c>
      <c r="Q390" s="0" t="n">
        <v>0.0001488</v>
      </c>
      <c r="R390" s="0" t="n">
        <v>-1</v>
      </c>
      <c r="S390" s="0" t="n">
        <v>-1</v>
      </c>
      <c r="T390" s="0" t="n">
        <v>-1</v>
      </c>
      <c r="U390" s="0" t="n">
        <v>-1</v>
      </c>
      <c r="V390" s="0" t="s">
        <v>50</v>
      </c>
      <c r="W390" s="0" t="s">
        <v>50</v>
      </c>
      <c r="X390" s="0" t="s">
        <v>50</v>
      </c>
      <c r="Y390" s="0" t="s">
        <v>50</v>
      </c>
      <c r="Z390" s="0" t="s">
        <v>50</v>
      </c>
      <c r="AA390" s="0" t="s">
        <v>50</v>
      </c>
      <c r="AB390" s="0" t="s">
        <v>50</v>
      </c>
      <c r="AC390" s="0" t="s">
        <v>53</v>
      </c>
      <c r="AD390" s="0" t="s">
        <v>1058</v>
      </c>
      <c r="AE390" s="0" t="s">
        <v>50</v>
      </c>
      <c r="AF390" s="0" t="s">
        <v>50</v>
      </c>
      <c r="AG390" s="0" t="s">
        <v>50</v>
      </c>
      <c r="AH390" s="0" t="s">
        <v>50</v>
      </c>
      <c r="AI390" s="0" t="s">
        <v>632</v>
      </c>
      <c r="AJ390" s="0" t="s">
        <v>50</v>
      </c>
      <c r="AK390" s="0" t="s">
        <v>50</v>
      </c>
      <c r="AL390" s="0" t="s">
        <v>50</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3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170:171 A1"/>
    </sheetView>
  </sheetViews>
  <sheetFormatPr defaultColWidth="8.6953125" defaultRowHeight="15" zeroHeight="false" outlineLevelRow="0" outlineLevelCol="0"/>
  <sheetData>
    <row r="1" customFormat="false" ht="15" hidden="false" customHeight="false" outlineLevel="0" collapsed="false">
      <c r="A1" s="1" t="s">
        <v>2214</v>
      </c>
      <c r="B1" s="1" t="s">
        <v>30</v>
      </c>
      <c r="C1" s="1" t="s">
        <v>31</v>
      </c>
      <c r="D1" s="1" t="s">
        <v>32</v>
      </c>
      <c r="E1" s="1" t="s">
        <v>33</v>
      </c>
      <c r="F1" s="1" t="s">
        <v>2215</v>
      </c>
      <c r="G1" s="1" t="s">
        <v>2216</v>
      </c>
      <c r="H1" s="1" t="s">
        <v>2217</v>
      </c>
      <c r="I1" s="1" t="s">
        <v>2218</v>
      </c>
      <c r="J1" s="1" t="s">
        <v>2219</v>
      </c>
      <c r="K1" s="1" t="s">
        <v>2220</v>
      </c>
      <c r="L1" s="1" t="s">
        <v>2221</v>
      </c>
      <c r="M1" s="1" t="s">
        <v>2222</v>
      </c>
      <c r="N1" s="1" t="s">
        <v>2223</v>
      </c>
      <c r="O1" s="1" t="s">
        <v>2224</v>
      </c>
      <c r="P1" s="1" t="s">
        <v>2225</v>
      </c>
    </row>
    <row r="2" customFormat="false" ht="15" hidden="false" customHeight="false" outlineLevel="0" collapsed="false">
      <c r="A2" s="0" t="s">
        <v>2226</v>
      </c>
      <c r="B2" s="0" t="s">
        <v>2137</v>
      </c>
      <c r="C2" s="0" t="s">
        <v>2138</v>
      </c>
      <c r="D2" s="0" t="s">
        <v>2139</v>
      </c>
      <c r="E2" s="0" t="s">
        <v>50</v>
      </c>
      <c r="F2" s="0" t="s">
        <v>2227</v>
      </c>
      <c r="G2" s="0" t="s">
        <v>2228</v>
      </c>
      <c r="H2" s="0" t="s">
        <v>2229</v>
      </c>
      <c r="I2" s="0" t="s">
        <v>50</v>
      </c>
      <c r="J2" s="0" t="s">
        <v>50</v>
      </c>
      <c r="K2" s="0" t="s">
        <v>50</v>
      </c>
      <c r="L2" s="0" t="s">
        <v>50</v>
      </c>
      <c r="M2" s="0" t="s">
        <v>50</v>
      </c>
      <c r="N2" s="0" t="s">
        <v>50</v>
      </c>
      <c r="O2" s="0" t="s">
        <v>50</v>
      </c>
      <c r="P2" s="0" t="s">
        <v>50</v>
      </c>
    </row>
    <row r="3" customFormat="false" ht="15" hidden="false" customHeight="false" outlineLevel="0" collapsed="false">
      <c r="A3" s="0" t="s">
        <v>2230</v>
      </c>
      <c r="B3" s="0" t="s">
        <v>2186</v>
      </c>
      <c r="C3" s="0" t="s">
        <v>2187</v>
      </c>
      <c r="D3" s="0" t="s">
        <v>2188</v>
      </c>
      <c r="E3" s="0" t="s">
        <v>2189</v>
      </c>
      <c r="F3" s="0" t="s">
        <v>50</v>
      </c>
      <c r="G3" s="0" t="s">
        <v>2231</v>
      </c>
      <c r="H3" s="0" t="s">
        <v>2232</v>
      </c>
      <c r="I3" s="0" t="str">
        <f aca="false">HYPERLINK("https://omim.org/entry/301310", "301310")</f>
        <v>301310</v>
      </c>
      <c r="J3" s="0" t="s">
        <v>50</v>
      </c>
      <c r="K3" s="0" t="s">
        <v>50</v>
      </c>
      <c r="L3" s="0" t="s">
        <v>50</v>
      </c>
      <c r="M3" s="0" t="s">
        <v>50</v>
      </c>
      <c r="N3" s="0" t="s">
        <v>50</v>
      </c>
      <c r="O3" s="0" t="s">
        <v>50</v>
      </c>
      <c r="P3" s="0" t="s">
        <v>50</v>
      </c>
    </row>
    <row r="4" customFormat="false" ht="15" hidden="false" customHeight="false" outlineLevel="0" collapsed="false">
      <c r="A4" s="0" t="s">
        <v>2233</v>
      </c>
      <c r="B4" s="0" t="s">
        <v>878</v>
      </c>
      <c r="C4" s="0" t="s">
        <v>879</v>
      </c>
      <c r="D4" s="0" t="s">
        <v>880</v>
      </c>
      <c r="E4" s="0" t="s">
        <v>881</v>
      </c>
      <c r="F4" s="0" t="s">
        <v>50</v>
      </c>
      <c r="G4" s="0" t="s">
        <v>2234</v>
      </c>
      <c r="H4" s="0" t="s">
        <v>2235</v>
      </c>
      <c r="I4" s="0" t="str">
        <f aca="false">HYPERLINK("https://omim.org/entry/608569", "608569")</f>
        <v>608569</v>
      </c>
      <c r="J4" s="0" t="str">
        <f aca="false">HYPERLINK("https://omim.org/entry/614050", "614050")</f>
        <v>614050</v>
      </c>
      <c r="K4" s="0" t="str">
        <f aca="false">HYPERLINK("https://omim.org/entry/239850", "239850")</f>
        <v>239850</v>
      </c>
      <c r="L4" s="0" t="s">
        <v>50</v>
      </c>
      <c r="M4" s="0" t="s">
        <v>50</v>
      </c>
      <c r="N4" s="0" t="s">
        <v>50</v>
      </c>
      <c r="O4" s="0" t="s">
        <v>50</v>
      </c>
      <c r="P4" s="0" t="s">
        <v>50</v>
      </c>
    </row>
    <row r="5" customFormat="false" ht="15" hidden="false" customHeight="false" outlineLevel="0" collapsed="false">
      <c r="A5" s="0" t="s">
        <v>2236</v>
      </c>
      <c r="B5" s="0" t="s">
        <v>2206</v>
      </c>
      <c r="C5" s="0" t="s">
        <v>2207</v>
      </c>
      <c r="D5" s="0" t="s">
        <v>2208</v>
      </c>
      <c r="E5" s="0" t="s">
        <v>2209</v>
      </c>
      <c r="F5" s="0" t="s">
        <v>50</v>
      </c>
      <c r="G5" s="0" t="s">
        <v>2237</v>
      </c>
      <c r="H5" s="0" t="s">
        <v>2238</v>
      </c>
      <c r="I5" s="0" t="str">
        <f aca="false">HYPERLINK("https://omim.org/entry/300100", "300100")</f>
        <v>300100</v>
      </c>
      <c r="J5" s="0" t="s">
        <v>50</v>
      </c>
      <c r="K5" s="0" t="s">
        <v>50</v>
      </c>
      <c r="L5" s="0" t="s">
        <v>50</v>
      </c>
      <c r="M5" s="0" t="s">
        <v>50</v>
      </c>
      <c r="N5" s="0" t="s">
        <v>50</v>
      </c>
      <c r="O5" s="0" t="s">
        <v>50</v>
      </c>
      <c r="P5" s="0" t="s">
        <v>50</v>
      </c>
    </row>
    <row r="6" customFormat="false" ht="15" hidden="false" customHeight="false" outlineLevel="0" collapsed="false">
      <c r="A6" s="0" t="s">
        <v>2239</v>
      </c>
      <c r="B6" s="0" t="s">
        <v>1703</v>
      </c>
      <c r="C6" s="0" t="s">
        <v>1704</v>
      </c>
      <c r="D6" s="0" t="s">
        <v>50</v>
      </c>
      <c r="E6" s="0" t="s">
        <v>50</v>
      </c>
      <c r="F6" s="0" t="s">
        <v>2240</v>
      </c>
      <c r="G6" s="0" t="s">
        <v>2241</v>
      </c>
      <c r="H6" s="0" t="s">
        <v>2242</v>
      </c>
      <c r="I6" s="0" t="s">
        <v>50</v>
      </c>
      <c r="J6" s="0" t="s">
        <v>50</v>
      </c>
      <c r="K6" s="0" t="s">
        <v>50</v>
      </c>
      <c r="L6" s="0" t="s">
        <v>50</v>
      </c>
      <c r="M6" s="0" t="s">
        <v>50</v>
      </c>
      <c r="N6" s="0" t="s">
        <v>50</v>
      </c>
      <c r="O6" s="0" t="s">
        <v>50</v>
      </c>
      <c r="P6" s="0" t="s">
        <v>50</v>
      </c>
    </row>
    <row r="7" customFormat="false" ht="15" hidden="false" customHeight="false" outlineLevel="0" collapsed="false">
      <c r="A7" s="0" t="s">
        <v>2243</v>
      </c>
      <c r="B7" s="0" t="s">
        <v>1866</v>
      </c>
      <c r="C7" s="0" t="s">
        <v>1867</v>
      </c>
      <c r="D7" s="0" t="s">
        <v>1868</v>
      </c>
      <c r="E7" s="0" t="s">
        <v>1869</v>
      </c>
      <c r="F7" s="0" t="s">
        <v>2244</v>
      </c>
      <c r="G7" s="0" t="s">
        <v>2245</v>
      </c>
      <c r="H7" s="0" t="s">
        <v>2246</v>
      </c>
      <c r="I7" s="0" t="s">
        <v>50</v>
      </c>
      <c r="J7" s="0" t="s">
        <v>50</v>
      </c>
      <c r="K7" s="0" t="s">
        <v>50</v>
      </c>
      <c r="L7" s="0" t="s">
        <v>50</v>
      </c>
      <c r="M7" s="0" t="s">
        <v>50</v>
      </c>
      <c r="N7" s="0" t="s">
        <v>50</v>
      </c>
      <c r="O7" s="0" t="s">
        <v>50</v>
      </c>
      <c r="P7" s="0" t="s">
        <v>50</v>
      </c>
    </row>
    <row r="8" customFormat="false" ht="15" hidden="false" customHeight="false" outlineLevel="0" collapsed="false">
      <c r="A8" s="0" t="s">
        <v>2247</v>
      </c>
      <c r="B8" s="0" t="s">
        <v>1809</v>
      </c>
      <c r="C8" s="0" t="s">
        <v>1810</v>
      </c>
      <c r="D8" s="0" t="s">
        <v>1811</v>
      </c>
      <c r="E8" s="0" t="s">
        <v>50</v>
      </c>
      <c r="F8" s="0" t="s">
        <v>2248</v>
      </c>
      <c r="G8" s="0" t="s">
        <v>2249</v>
      </c>
      <c r="H8" s="0" t="s">
        <v>2250</v>
      </c>
      <c r="I8" s="0" t="s">
        <v>50</v>
      </c>
      <c r="J8" s="0" t="s">
        <v>50</v>
      </c>
      <c r="K8" s="0" t="s">
        <v>50</v>
      </c>
      <c r="L8" s="0" t="s">
        <v>50</v>
      </c>
      <c r="M8" s="0" t="s">
        <v>50</v>
      </c>
      <c r="N8" s="0" t="s">
        <v>50</v>
      </c>
      <c r="O8" s="0" t="s">
        <v>50</v>
      </c>
      <c r="P8" s="0" t="s">
        <v>50</v>
      </c>
    </row>
    <row r="9" customFormat="false" ht="15" hidden="false" customHeight="false" outlineLevel="0" collapsed="false">
      <c r="A9" s="0" t="s">
        <v>2251</v>
      </c>
      <c r="B9" s="0" t="s">
        <v>615</v>
      </c>
      <c r="C9" s="0" t="s">
        <v>616</v>
      </c>
      <c r="D9" s="0" t="s">
        <v>617</v>
      </c>
      <c r="E9" s="0" t="s">
        <v>618</v>
      </c>
      <c r="F9" s="0" t="s">
        <v>2252</v>
      </c>
      <c r="G9" s="0" t="s">
        <v>2253</v>
      </c>
      <c r="H9" s="0" t="s">
        <v>2254</v>
      </c>
      <c r="I9" s="0" t="str">
        <f aca="false">HYPERLINK("https://omim.org/entry/267500", "267500")</f>
        <v>267500</v>
      </c>
      <c r="J9" s="0" t="s">
        <v>50</v>
      </c>
      <c r="K9" s="0" t="s">
        <v>50</v>
      </c>
      <c r="L9" s="0" t="s">
        <v>50</v>
      </c>
      <c r="M9" s="0" t="s">
        <v>50</v>
      </c>
      <c r="N9" s="0" t="s">
        <v>50</v>
      </c>
      <c r="O9" s="0" t="s">
        <v>50</v>
      </c>
      <c r="P9" s="0" t="s">
        <v>50</v>
      </c>
    </row>
    <row r="10" customFormat="false" ht="15" hidden="false" customHeight="false" outlineLevel="0" collapsed="false">
      <c r="A10" s="0" t="s">
        <v>2255</v>
      </c>
      <c r="B10" s="0" t="s">
        <v>751</v>
      </c>
      <c r="C10" s="0" t="s">
        <v>752</v>
      </c>
      <c r="D10" s="0" t="s">
        <v>50</v>
      </c>
      <c r="E10" s="0" t="s">
        <v>50</v>
      </c>
      <c r="F10" s="0" t="s">
        <v>50</v>
      </c>
      <c r="G10" s="0" t="s">
        <v>50</v>
      </c>
      <c r="H10" s="0" t="s">
        <v>50</v>
      </c>
      <c r="I10" s="0" t="s">
        <v>50</v>
      </c>
      <c r="J10" s="0" t="s">
        <v>50</v>
      </c>
      <c r="K10" s="0" t="s">
        <v>50</v>
      </c>
      <c r="L10" s="0" t="s">
        <v>50</v>
      </c>
      <c r="M10" s="0" t="s">
        <v>50</v>
      </c>
      <c r="N10" s="0" t="s">
        <v>50</v>
      </c>
      <c r="O10" s="0" t="s">
        <v>50</v>
      </c>
      <c r="P10" s="0" t="s">
        <v>50</v>
      </c>
    </row>
    <row r="11" customFormat="false" ht="15" hidden="false" customHeight="false" outlineLevel="0" collapsed="false">
      <c r="A11" s="0" t="s">
        <v>2256</v>
      </c>
      <c r="B11" s="0" t="s">
        <v>1193</v>
      </c>
      <c r="C11" s="0" t="s">
        <v>1194</v>
      </c>
      <c r="D11" s="0" t="s">
        <v>50</v>
      </c>
      <c r="E11" s="0" t="s">
        <v>50</v>
      </c>
      <c r="F11" s="0" t="s">
        <v>2257</v>
      </c>
      <c r="G11" s="0" t="s">
        <v>2258</v>
      </c>
      <c r="H11" s="0" t="s">
        <v>50</v>
      </c>
      <c r="I11" s="0" t="s">
        <v>50</v>
      </c>
      <c r="J11" s="0" t="s">
        <v>50</v>
      </c>
      <c r="K11" s="0" t="s">
        <v>50</v>
      </c>
      <c r="L11" s="0" t="s">
        <v>50</v>
      </c>
      <c r="M11" s="0" t="s">
        <v>50</v>
      </c>
      <c r="N11" s="0" t="s">
        <v>50</v>
      </c>
      <c r="O11" s="0" t="s">
        <v>50</v>
      </c>
      <c r="P11" s="0" t="s">
        <v>50</v>
      </c>
    </row>
    <row r="12" customFormat="false" ht="15" hidden="false" customHeight="false" outlineLevel="0" collapsed="false">
      <c r="A12" s="0" t="s">
        <v>2259</v>
      </c>
      <c r="B12" s="0" t="s">
        <v>50</v>
      </c>
      <c r="C12" s="0" t="s">
        <v>1481</v>
      </c>
      <c r="D12" s="0" t="s">
        <v>50</v>
      </c>
      <c r="E12" s="0" t="s">
        <v>50</v>
      </c>
      <c r="F12" s="0" t="s">
        <v>50</v>
      </c>
      <c r="G12" s="0" t="s">
        <v>2260</v>
      </c>
      <c r="H12" s="0" t="s">
        <v>50</v>
      </c>
      <c r="I12" s="0" t="s">
        <v>50</v>
      </c>
      <c r="J12" s="0" t="s">
        <v>50</v>
      </c>
      <c r="K12" s="0" t="s">
        <v>50</v>
      </c>
      <c r="L12" s="0" t="s">
        <v>50</v>
      </c>
      <c r="M12" s="0" t="s">
        <v>50</v>
      </c>
      <c r="N12" s="0" t="s">
        <v>50</v>
      </c>
      <c r="O12" s="0" t="s">
        <v>50</v>
      </c>
      <c r="P12" s="0" t="s">
        <v>50</v>
      </c>
    </row>
    <row r="13" customFormat="false" ht="15" hidden="false" customHeight="false" outlineLevel="0" collapsed="false">
      <c r="A13" s="0" t="s">
        <v>2261</v>
      </c>
      <c r="B13" s="0" t="s">
        <v>50</v>
      </c>
      <c r="C13" s="0" t="s">
        <v>1430</v>
      </c>
      <c r="D13" s="0" t="s">
        <v>50</v>
      </c>
      <c r="E13" s="0" t="s">
        <v>50</v>
      </c>
      <c r="F13" s="0" t="s">
        <v>50</v>
      </c>
      <c r="G13" s="0" t="s">
        <v>50</v>
      </c>
      <c r="H13" s="0" t="s">
        <v>50</v>
      </c>
      <c r="I13" s="0" t="s">
        <v>50</v>
      </c>
      <c r="J13" s="0" t="s">
        <v>50</v>
      </c>
      <c r="K13" s="0" t="s">
        <v>50</v>
      </c>
      <c r="L13" s="0" t="s">
        <v>50</v>
      </c>
      <c r="M13" s="0" t="s">
        <v>50</v>
      </c>
      <c r="N13" s="0" t="s">
        <v>50</v>
      </c>
      <c r="O13" s="0" t="s">
        <v>50</v>
      </c>
      <c r="P13" s="0" t="s">
        <v>50</v>
      </c>
    </row>
    <row r="14" customFormat="false" ht="15" hidden="false" customHeight="false" outlineLevel="0" collapsed="false">
      <c r="A14" s="0" t="s">
        <v>2262</v>
      </c>
      <c r="B14" s="0" t="s">
        <v>50</v>
      </c>
      <c r="C14" s="0" t="s">
        <v>481</v>
      </c>
      <c r="D14" s="0" t="s">
        <v>50</v>
      </c>
      <c r="E14" s="0" t="s">
        <v>50</v>
      </c>
      <c r="F14" s="0" t="s">
        <v>50</v>
      </c>
      <c r="G14" s="0" t="s">
        <v>2263</v>
      </c>
      <c r="H14" s="0" t="s">
        <v>50</v>
      </c>
      <c r="I14" s="0" t="s">
        <v>50</v>
      </c>
      <c r="J14" s="0" t="s">
        <v>50</v>
      </c>
      <c r="K14" s="0" t="s">
        <v>50</v>
      </c>
      <c r="L14" s="0" t="s">
        <v>50</v>
      </c>
      <c r="M14" s="0" t="s">
        <v>50</v>
      </c>
      <c r="N14" s="0" t="s">
        <v>50</v>
      </c>
      <c r="O14" s="0" t="s">
        <v>50</v>
      </c>
      <c r="P14" s="0" t="s">
        <v>50</v>
      </c>
    </row>
    <row r="15" customFormat="false" ht="15" hidden="false" customHeight="false" outlineLevel="0" collapsed="false">
      <c r="A15" s="0" t="s">
        <v>2264</v>
      </c>
      <c r="B15" s="0" t="s">
        <v>50</v>
      </c>
      <c r="C15" s="0" t="s">
        <v>2265</v>
      </c>
      <c r="D15" s="0" t="s">
        <v>50</v>
      </c>
      <c r="E15" s="0" t="s">
        <v>50</v>
      </c>
      <c r="F15" s="0" t="s">
        <v>50</v>
      </c>
      <c r="G15" s="0" t="s">
        <v>50</v>
      </c>
      <c r="H15" s="0" t="s">
        <v>50</v>
      </c>
      <c r="I15" s="0" t="s">
        <v>50</v>
      </c>
      <c r="J15" s="0" t="s">
        <v>50</v>
      </c>
      <c r="K15" s="0" t="s">
        <v>50</v>
      </c>
      <c r="L15" s="0" t="s">
        <v>50</v>
      </c>
      <c r="M15" s="0" t="s">
        <v>50</v>
      </c>
      <c r="N15" s="0" t="s">
        <v>50</v>
      </c>
      <c r="O15" s="0" t="s">
        <v>50</v>
      </c>
      <c r="P15" s="0" t="s">
        <v>50</v>
      </c>
    </row>
    <row r="16" customFormat="false" ht="15" hidden="false" customHeight="false" outlineLevel="0" collapsed="false">
      <c r="A16" s="0" t="s">
        <v>2266</v>
      </c>
      <c r="B16" s="0" t="s">
        <v>900</v>
      </c>
      <c r="C16" s="0" t="s">
        <v>901</v>
      </c>
      <c r="D16" s="0" t="s">
        <v>902</v>
      </c>
      <c r="E16" s="0" t="s">
        <v>903</v>
      </c>
      <c r="F16" s="0" t="s">
        <v>50</v>
      </c>
      <c r="G16" s="0" t="s">
        <v>2267</v>
      </c>
      <c r="H16" s="0" t="s">
        <v>2268</v>
      </c>
      <c r="I16" s="0" t="str">
        <f aca="false">HYPERLINK("https://omim.org/entry/600231", "600231")</f>
        <v>600231</v>
      </c>
      <c r="J16" s="0" t="s">
        <v>50</v>
      </c>
      <c r="K16" s="0" t="s">
        <v>50</v>
      </c>
      <c r="L16" s="0" t="s">
        <v>50</v>
      </c>
      <c r="M16" s="0" t="s">
        <v>50</v>
      </c>
      <c r="N16" s="0" t="s">
        <v>50</v>
      </c>
      <c r="O16" s="0" t="s">
        <v>50</v>
      </c>
      <c r="P16" s="0" t="s">
        <v>50</v>
      </c>
    </row>
    <row r="17" customFormat="false" ht="15" hidden="false" customHeight="false" outlineLevel="0" collapsed="false">
      <c r="A17" s="0" t="s">
        <v>2269</v>
      </c>
      <c r="B17" s="0" t="s">
        <v>239</v>
      </c>
      <c r="C17" s="0" t="s">
        <v>240</v>
      </c>
      <c r="D17" s="0" t="s">
        <v>241</v>
      </c>
      <c r="E17" s="0" t="s">
        <v>242</v>
      </c>
      <c r="F17" s="0" t="s">
        <v>2270</v>
      </c>
      <c r="G17" s="0" t="s">
        <v>50</v>
      </c>
      <c r="H17" s="0" t="s">
        <v>50</v>
      </c>
      <c r="I17" s="0" t="str">
        <f aca="false">HYPERLINK("https://omim.org/entry/300068", "300068")</f>
        <v>300068</v>
      </c>
      <c r="J17" s="0" t="str">
        <f aca="false">HYPERLINK("https://omim.org/entry/313200", "313200")</f>
        <v>313200</v>
      </c>
      <c r="K17" s="0" t="str">
        <f aca="false">HYPERLINK("https://omim.org/entry/312300", "312300")</f>
        <v>312300</v>
      </c>
      <c r="L17" s="0" t="s">
        <v>50</v>
      </c>
      <c r="M17" s="0" t="s">
        <v>50</v>
      </c>
      <c r="N17" s="0" t="s">
        <v>50</v>
      </c>
      <c r="O17" s="0" t="s">
        <v>50</v>
      </c>
      <c r="P17" s="0" t="s">
        <v>50</v>
      </c>
    </row>
    <row r="18" customFormat="false" ht="15" hidden="false" customHeight="false" outlineLevel="0" collapsed="false">
      <c r="A18" s="0" t="s">
        <v>2271</v>
      </c>
      <c r="B18" s="0" t="s">
        <v>2191</v>
      </c>
      <c r="C18" s="0" t="s">
        <v>2192</v>
      </c>
      <c r="D18" s="0" t="s">
        <v>2193</v>
      </c>
      <c r="E18" s="0" t="s">
        <v>50</v>
      </c>
      <c r="F18" s="0" t="s">
        <v>50</v>
      </c>
      <c r="G18" s="0" t="s">
        <v>2272</v>
      </c>
      <c r="H18" s="0" t="s">
        <v>2273</v>
      </c>
      <c r="I18" s="0" t="s">
        <v>50</v>
      </c>
      <c r="J18" s="0" t="s">
        <v>50</v>
      </c>
      <c r="K18" s="0" t="s">
        <v>50</v>
      </c>
      <c r="L18" s="0" t="s">
        <v>50</v>
      </c>
      <c r="M18" s="0" t="s">
        <v>50</v>
      </c>
      <c r="N18" s="0" t="s">
        <v>50</v>
      </c>
      <c r="O18" s="0" t="s">
        <v>50</v>
      </c>
      <c r="P18" s="0" t="s">
        <v>50</v>
      </c>
    </row>
    <row r="19" customFormat="false" ht="15" hidden="false" customHeight="false" outlineLevel="0" collapsed="false">
      <c r="A19" s="0" t="s">
        <v>2274</v>
      </c>
      <c r="B19" s="0" t="s">
        <v>2146</v>
      </c>
      <c r="C19" s="0" t="s">
        <v>2147</v>
      </c>
      <c r="D19" s="0" t="s">
        <v>2148</v>
      </c>
      <c r="E19" s="0" t="s">
        <v>50</v>
      </c>
      <c r="F19" s="0" t="s">
        <v>2275</v>
      </c>
      <c r="G19" s="0" t="s">
        <v>2276</v>
      </c>
      <c r="H19" s="0" t="s">
        <v>2277</v>
      </c>
      <c r="I19" s="0" t="s">
        <v>50</v>
      </c>
      <c r="J19" s="0" t="s">
        <v>50</v>
      </c>
      <c r="K19" s="0" t="s">
        <v>50</v>
      </c>
      <c r="L19" s="0" t="s">
        <v>50</v>
      </c>
      <c r="M19" s="0" t="s">
        <v>50</v>
      </c>
      <c r="N19" s="0" t="s">
        <v>50</v>
      </c>
      <c r="O19" s="0" t="s">
        <v>50</v>
      </c>
      <c r="P19" s="0" t="s">
        <v>50</v>
      </c>
    </row>
    <row r="20" customFormat="false" ht="15" hidden="false" customHeight="false" outlineLevel="0" collapsed="false">
      <c r="A20" s="0" t="s">
        <v>2278</v>
      </c>
      <c r="B20" s="0" t="s">
        <v>597</v>
      </c>
      <c r="C20" s="0" t="s">
        <v>598</v>
      </c>
      <c r="D20" s="0" t="s">
        <v>50</v>
      </c>
      <c r="E20" s="0" t="s">
        <v>50</v>
      </c>
      <c r="F20" s="0" t="s">
        <v>50</v>
      </c>
      <c r="G20" s="0" t="s">
        <v>50</v>
      </c>
      <c r="H20" s="0" t="s">
        <v>50</v>
      </c>
      <c r="I20" s="0" t="s">
        <v>50</v>
      </c>
      <c r="J20" s="0" t="s">
        <v>50</v>
      </c>
      <c r="K20" s="0" t="s">
        <v>50</v>
      </c>
      <c r="L20" s="0" t="s">
        <v>50</v>
      </c>
      <c r="M20" s="0" t="s">
        <v>50</v>
      </c>
      <c r="N20" s="0" t="s">
        <v>50</v>
      </c>
      <c r="O20" s="0" t="s">
        <v>50</v>
      </c>
      <c r="P20" s="0" t="s">
        <v>50</v>
      </c>
    </row>
    <row r="21" customFormat="false" ht="15" hidden="false" customHeight="false" outlineLevel="0" collapsed="false">
      <c r="A21" s="0" t="s">
        <v>2279</v>
      </c>
      <c r="B21" s="0" t="s">
        <v>176</v>
      </c>
      <c r="C21" s="0" t="s">
        <v>177</v>
      </c>
      <c r="D21" s="0" t="s">
        <v>178</v>
      </c>
      <c r="E21" s="0" t="s">
        <v>179</v>
      </c>
      <c r="F21" s="0" t="s">
        <v>2280</v>
      </c>
      <c r="G21" s="0" t="s">
        <v>2281</v>
      </c>
      <c r="H21" s="0" t="s">
        <v>2282</v>
      </c>
      <c r="I21" s="0" t="str">
        <f aca="false">HYPERLINK("https://omim.org/entry/208900", "208900")</f>
        <v>208900</v>
      </c>
      <c r="J21" s="0" t="s">
        <v>50</v>
      </c>
      <c r="K21" s="0" t="s">
        <v>50</v>
      </c>
      <c r="L21" s="0" t="s">
        <v>50</v>
      </c>
      <c r="M21" s="0" t="s">
        <v>50</v>
      </c>
      <c r="N21" s="0" t="s">
        <v>50</v>
      </c>
      <c r="O21" s="0" t="s">
        <v>50</v>
      </c>
      <c r="P21" s="0" t="s">
        <v>50</v>
      </c>
    </row>
    <row r="22" customFormat="false" ht="15" hidden="false" customHeight="false" outlineLevel="0" collapsed="false">
      <c r="A22" s="0" t="s">
        <v>2283</v>
      </c>
      <c r="B22" s="0" t="s">
        <v>1748</v>
      </c>
      <c r="C22" s="0" t="s">
        <v>2284</v>
      </c>
      <c r="D22" s="0" t="s">
        <v>50</v>
      </c>
      <c r="E22" s="0" t="s">
        <v>1750</v>
      </c>
      <c r="F22" s="0" t="s">
        <v>2285</v>
      </c>
      <c r="G22" s="0" t="s">
        <v>2286</v>
      </c>
      <c r="H22" s="0" t="s">
        <v>2287</v>
      </c>
      <c r="I22" s="0" t="s">
        <v>50</v>
      </c>
      <c r="J22" s="0" t="s">
        <v>50</v>
      </c>
      <c r="K22" s="0" t="s">
        <v>50</v>
      </c>
      <c r="L22" s="0" t="s">
        <v>50</v>
      </c>
      <c r="M22" s="0" t="s">
        <v>50</v>
      </c>
      <c r="N22" s="0" t="s">
        <v>50</v>
      </c>
      <c r="O22" s="0" t="s">
        <v>50</v>
      </c>
      <c r="P22" s="0" t="s">
        <v>50</v>
      </c>
    </row>
    <row r="23" customFormat="false" ht="15" hidden="false" customHeight="false" outlineLevel="0" collapsed="false">
      <c r="A23" s="0" t="s">
        <v>2288</v>
      </c>
      <c r="B23" s="0" t="s">
        <v>50</v>
      </c>
      <c r="C23" s="0" t="s">
        <v>2289</v>
      </c>
      <c r="D23" s="0" t="s">
        <v>50</v>
      </c>
      <c r="E23" s="0" t="s">
        <v>50</v>
      </c>
      <c r="F23" s="0" t="s">
        <v>50</v>
      </c>
      <c r="G23" s="0" t="s">
        <v>50</v>
      </c>
      <c r="H23" s="0" t="s">
        <v>50</v>
      </c>
      <c r="I23" s="0" t="s">
        <v>50</v>
      </c>
      <c r="J23" s="0" t="s">
        <v>50</v>
      </c>
      <c r="K23" s="0" t="s">
        <v>50</v>
      </c>
      <c r="L23" s="0" t="s">
        <v>50</v>
      </c>
      <c r="M23" s="0" t="s">
        <v>50</v>
      </c>
      <c r="N23" s="0" t="s">
        <v>50</v>
      </c>
      <c r="O23" s="0" t="s">
        <v>50</v>
      </c>
      <c r="P23" s="0" t="s">
        <v>50</v>
      </c>
    </row>
    <row r="24" customFormat="false" ht="15" hidden="false" customHeight="false" outlineLevel="0" collapsed="false">
      <c r="A24" s="0" t="s">
        <v>2290</v>
      </c>
      <c r="B24" s="0" t="s">
        <v>2057</v>
      </c>
      <c r="C24" s="0" t="s">
        <v>2058</v>
      </c>
      <c r="D24" s="0" t="s">
        <v>2059</v>
      </c>
      <c r="E24" s="0" t="s">
        <v>50</v>
      </c>
      <c r="F24" s="0" t="s">
        <v>2291</v>
      </c>
      <c r="G24" s="0" t="s">
        <v>2292</v>
      </c>
      <c r="H24" s="0" t="s">
        <v>2293</v>
      </c>
      <c r="I24" s="0" t="s">
        <v>50</v>
      </c>
      <c r="J24" s="0" t="s">
        <v>50</v>
      </c>
      <c r="K24" s="0" t="s">
        <v>50</v>
      </c>
      <c r="L24" s="0" t="s">
        <v>50</v>
      </c>
      <c r="M24" s="0" t="s">
        <v>50</v>
      </c>
      <c r="N24" s="0" t="s">
        <v>50</v>
      </c>
      <c r="O24" s="0" t="s">
        <v>50</v>
      </c>
      <c r="P24" s="0" t="s">
        <v>50</v>
      </c>
    </row>
    <row r="25" customFormat="false" ht="15" hidden="false" customHeight="false" outlineLevel="0" collapsed="false">
      <c r="A25" s="0" t="s">
        <v>2294</v>
      </c>
      <c r="B25" s="0" t="s">
        <v>1221</v>
      </c>
      <c r="C25" s="0" t="s">
        <v>1222</v>
      </c>
      <c r="D25" s="0" t="s">
        <v>1223</v>
      </c>
      <c r="E25" s="0" t="s">
        <v>1224</v>
      </c>
      <c r="F25" s="0" t="s">
        <v>2295</v>
      </c>
      <c r="G25" s="0" t="s">
        <v>2296</v>
      </c>
      <c r="H25" s="0" t="s">
        <v>2297</v>
      </c>
      <c r="I25" s="0" t="str">
        <f aca="false">HYPERLINK("https://omim.org/entry/243300", "243300")</f>
        <v>243300</v>
      </c>
      <c r="J25" s="0" t="str">
        <f aca="false">HYPERLINK("https://omim.org/entry/147480", "147480")</f>
        <v>147480</v>
      </c>
      <c r="K25" s="0" t="s">
        <v>50</v>
      </c>
      <c r="L25" s="0" t="s">
        <v>50</v>
      </c>
      <c r="M25" s="0" t="s">
        <v>50</v>
      </c>
      <c r="N25" s="0" t="s">
        <v>50</v>
      </c>
      <c r="O25" s="0" t="s">
        <v>50</v>
      </c>
      <c r="P25" s="0" t="s">
        <v>50</v>
      </c>
    </row>
    <row r="26" customFormat="false" ht="15" hidden="false" customHeight="false" outlineLevel="0" collapsed="false">
      <c r="A26" s="0" t="s">
        <v>2298</v>
      </c>
      <c r="B26" s="0" t="s">
        <v>1729</v>
      </c>
      <c r="C26" s="0" t="s">
        <v>1730</v>
      </c>
      <c r="D26" s="0" t="s">
        <v>1731</v>
      </c>
      <c r="E26" s="0" t="s">
        <v>1732</v>
      </c>
      <c r="F26" s="0" t="s">
        <v>2299</v>
      </c>
      <c r="G26" s="0" t="s">
        <v>2300</v>
      </c>
      <c r="H26" s="0" t="s">
        <v>2301</v>
      </c>
      <c r="I26" s="0" t="str">
        <f aca="false">HYPERLINK("https://omim.org/entry/210600", "210600")</f>
        <v>210600</v>
      </c>
      <c r="J26" s="0" t="str">
        <f aca="false">HYPERLINK("https://omim.org/entry/614564", "614564")</f>
        <v>614564</v>
      </c>
      <c r="K26" s="0" t="s">
        <v>50</v>
      </c>
      <c r="L26" s="0" t="s">
        <v>50</v>
      </c>
      <c r="M26" s="0" t="s">
        <v>50</v>
      </c>
      <c r="N26" s="0" t="s">
        <v>50</v>
      </c>
      <c r="O26" s="0" t="s">
        <v>50</v>
      </c>
      <c r="P26" s="0" t="s">
        <v>50</v>
      </c>
    </row>
    <row r="27" customFormat="false" ht="15" hidden="false" customHeight="false" outlineLevel="0" collapsed="false">
      <c r="A27" s="0" t="s">
        <v>2302</v>
      </c>
      <c r="B27" s="0" t="s">
        <v>349</v>
      </c>
      <c r="C27" s="0" t="s">
        <v>350</v>
      </c>
      <c r="D27" s="0" t="s">
        <v>351</v>
      </c>
      <c r="E27" s="0" t="s">
        <v>352</v>
      </c>
      <c r="F27" s="0" t="s">
        <v>2303</v>
      </c>
      <c r="G27" s="0" t="s">
        <v>2304</v>
      </c>
      <c r="H27" s="0" t="s">
        <v>2305</v>
      </c>
      <c r="I27" s="0" t="s">
        <v>50</v>
      </c>
      <c r="J27" s="0" t="s">
        <v>50</v>
      </c>
      <c r="K27" s="0" t="s">
        <v>50</v>
      </c>
      <c r="L27" s="0" t="s">
        <v>50</v>
      </c>
      <c r="M27" s="0" t="s">
        <v>50</v>
      </c>
      <c r="N27" s="0" t="s">
        <v>50</v>
      </c>
      <c r="O27" s="0" t="s">
        <v>50</v>
      </c>
      <c r="P27" s="0" t="s">
        <v>50</v>
      </c>
    </row>
    <row r="28" customFormat="false" ht="15" hidden="false" customHeight="false" outlineLevel="0" collapsed="false">
      <c r="A28" s="0" t="s">
        <v>2306</v>
      </c>
      <c r="B28" s="0" t="s">
        <v>425</v>
      </c>
      <c r="C28" s="0" t="s">
        <v>426</v>
      </c>
      <c r="D28" s="0" t="s">
        <v>427</v>
      </c>
      <c r="E28" s="0" t="s">
        <v>50</v>
      </c>
      <c r="F28" s="0" t="s">
        <v>2307</v>
      </c>
      <c r="G28" s="0" t="s">
        <v>2308</v>
      </c>
      <c r="H28" s="0" t="s">
        <v>2309</v>
      </c>
      <c r="I28" s="0" t="s">
        <v>50</v>
      </c>
      <c r="J28" s="0" t="s">
        <v>50</v>
      </c>
      <c r="K28" s="0" t="s">
        <v>50</v>
      </c>
      <c r="L28" s="0" t="s">
        <v>50</v>
      </c>
      <c r="M28" s="0" t="s">
        <v>50</v>
      </c>
      <c r="N28" s="0" t="s">
        <v>50</v>
      </c>
      <c r="O28" s="0" t="s">
        <v>50</v>
      </c>
      <c r="P28" s="0" t="s">
        <v>50</v>
      </c>
    </row>
    <row r="29" customFormat="false" ht="15" hidden="false" customHeight="false" outlineLevel="0" collapsed="false">
      <c r="A29" s="0" t="s">
        <v>2310</v>
      </c>
      <c r="B29" s="0" t="s">
        <v>1598</v>
      </c>
      <c r="C29" s="0" t="s">
        <v>1599</v>
      </c>
      <c r="D29" s="0" t="s">
        <v>1600</v>
      </c>
      <c r="E29" s="0" t="s">
        <v>50</v>
      </c>
      <c r="F29" s="0" t="s">
        <v>2311</v>
      </c>
      <c r="G29" s="0" t="s">
        <v>2312</v>
      </c>
      <c r="H29" s="0" t="s">
        <v>2313</v>
      </c>
      <c r="I29" s="0" t="s">
        <v>50</v>
      </c>
      <c r="J29" s="0" t="s">
        <v>50</v>
      </c>
      <c r="K29" s="0" t="s">
        <v>50</v>
      </c>
      <c r="L29" s="0" t="s">
        <v>50</v>
      </c>
      <c r="M29" s="0" t="s">
        <v>50</v>
      </c>
      <c r="N29" s="0" t="s">
        <v>50</v>
      </c>
      <c r="O29" s="0" t="s">
        <v>50</v>
      </c>
      <c r="P29" s="0" t="s">
        <v>50</v>
      </c>
    </row>
    <row r="30" customFormat="false" ht="15" hidden="false" customHeight="false" outlineLevel="0" collapsed="false">
      <c r="A30" s="0" t="s">
        <v>2314</v>
      </c>
      <c r="B30" s="0" t="s">
        <v>1737</v>
      </c>
      <c r="C30" s="0" t="s">
        <v>1738</v>
      </c>
      <c r="D30" s="0" t="s">
        <v>1739</v>
      </c>
      <c r="E30" s="0" t="s">
        <v>1740</v>
      </c>
      <c r="F30" s="0" t="s">
        <v>2315</v>
      </c>
      <c r="G30" s="0" t="s">
        <v>2316</v>
      </c>
      <c r="H30" s="0" t="s">
        <v>2317</v>
      </c>
      <c r="I30" s="0" t="s">
        <v>50</v>
      </c>
      <c r="J30" s="0" t="s">
        <v>50</v>
      </c>
      <c r="K30" s="0" t="s">
        <v>50</v>
      </c>
      <c r="L30" s="0" t="s">
        <v>50</v>
      </c>
      <c r="M30" s="0" t="s">
        <v>50</v>
      </c>
      <c r="N30" s="0" t="s">
        <v>50</v>
      </c>
      <c r="O30" s="0" t="s">
        <v>50</v>
      </c>
      <c r="P30" s="0" t="s">
        <v>50</v>
      </c>
    </row>
    <row r="31" customFormat="false" ht="15" hidden="false" customHeight="false" outlineLevel="0" collapsed="false">
      <c r="A31" s="0" t="s">
        <v>2318</v>
      </c>
      <c r="B31" s="0" t="s">
        <v>50</v>
      </c>
      <c r="C31" s="0" t="s">
        <v>2319</v>
      </c>
      <c r="D31" s="0" t="s">
        <v>50</v>
      </c>
      <c r="E31" s="0" t="s">
        <v>50</v>
      </c>
      <c r="F31" s="0" t="s">
        <v>50</v>
      </c>
      <c r="G31" s="0" t="s">
        <v>50</v>
      </c>
      <c r="H31" s="0" t="s">
        <v>50</v>
      </c>
      <c r="I31" s="0" t="s">
        <v>50</v>
      </c>
      <c r="J31" s="0" t="s">
        <v>50</v>
      </c>
      <c r="K31" s="0" t="s">
        <v>50</v>
      </c>
      <c r="L31" s="0" t="s">
        <v>50</v>
      </c>
      <c r="M31" s="0" t="s">
        <v>50</v>
      </c>
      <c r="N31" s="0" t="s">
        <v>50</v>
      </c>
      <c r="O31" s="0" t="s">
        <v>50</v>
      </c>
      <c r="P31" s="0" t="s">
        <v>50</v>
      </c>
    </row>
    <row r="32" customFormat="false" ht="15" hidden="false" customHeight="false" outlineLevel="0" collapsed="false">
      <c r="A32" s="0" t="s">
        <v>2320</v>
      </c>
      <c r="B32" s="0" t="s">
        <v>1392</v>
      </c>
      <c r="C32" s="0" t="s">
        <v>1393</v>
      </c>
      <c r="D32" s="0" t="s">
        <v>1394</v>
      </c>
      <c r="E32" s="0" t="s">
        <v>50</v>
      </c>
      <c r="F32" s="0" t="s">
        <v>2321</v>
      </c>
      <c r="G32" s="0" t="s">
        <v>50</v>
      </c>
      <c r="H32" s="0" t="s">
        <v>50</v>
      </c>
      <c r="I32" s="0" t="s">
        <v>50</v>
      </c>
      <c r="J32" s="0" t="s">
        <v>50</v>
      </c>
      <c r="K32" s="0" t="s">
        <v>50</v>
      </c>
      <c r="L32" s="0" t="s">
        <v>50</v>
      </c>
      <c r="M32" s="0" t="s">
        <v>50</v>
      </c>
      <c r="N32" s="0" t="s">
        <v>50</v>
      </c>
      <c r="O32" s="0" t="s">
        <v>50</v>
      </c>
      <c r="P32" s="0" t="s">
        <v>50</v>
      </c>
    </row>
    <row r="33" customFormat="false" ht="15" hidden="false" customHeight="false" outlineLevel="0" collapsed="false">
      <c r="A33" s="0" t="s">
        <v>2322</v>
      </c>
      <c r="B33" s="0" t="s">
        <v>50</v>
      </c>
      <c r="C33" s="0" t="s">
        <v>1622</v>
      </c>
      <c r="D33" s="0" t="s">
        <v>50</v>
      </c>
      <c r="E33" s="0" t="s">
        <v>50</v>
      </c>
      <c r="F33" s="0" t="s">
        <v>50</v>
      </c>
      <c r="G33" s="0" t="s">
        <v>50</v>
      </c>
      <c r="H33" s="0" t="s">
        <v>50</v>
      </c>
      <c r="I33" s="0" t="s">
        <v>50</v>
      </c>
      <c r="J33" s="0" t="s">
        <v>50</v>
      </c>
      <c r="K33" s="0" t="s">
        <v>50</v>
      </c>
      <c r="L33" s="0" t="s">
        <v>50</v>
      </c>
      <c r="M33" s="0" t="s">
        <v>50</v>
      </c>
      <c r="N33" s="0" t="s">
        <v>50</v>
      </c>
      <c r="O33" s="0" t="s">
        <v>50</v>
      </c>
      <c r="P33" s="0" t="s">
        <v>50</v>
      </c>
    </row>
    <row r="34" customFormat="false" ht="15" hidden="false" customHeight="false" outlineLevel="0" collapsed="false">
      <c r="A34" s="0" t="s">
        <v>2323</v>
      </c>
      <c r="B34" s="0" t="s">
        <v>1542</v>
      </c>
      <c r="C34" s="0" t="s">
        <v>1543</v>
      </c>
      <c r="D34" s="0" t="s">
        <v>1544</v>
      </c>
      <c r="E34" s="0" t="s">
        <v>50</v>
      </c>
      <c r="F34" s="0" t="s">
        <v>2324</v>
      </c>
      <c r="G34" s="0" t="s">
        <v>50</v>
      </c>
      <c r="H34" s="0" t="s">
        <v>50</v>
      </c>
      <c r="I34" s="0" t="s">
        <v>50</v>
      </c>
      <c r="J34" s="0" t="s">
        <v>50</v>
      </c>
      <c r="K34" s="0" t="s">
        <v>50</v>
      </c>
      <c r="L34" s="0" t="s">
        <v>50</v>
      </c>
      <c r="M34" s="0" t="s">
        <v>50</v>
      </c>
      <c r="N34" s="0" t="s">
        <v>50</v>
      </c>
      <c r="O34" s="0" t="s">
        <v>50</v>
      </c>
      <c r="P34" s="0" t="s">
        <v>50</v>
      </c>
    </row>
    <row r="35" customFormat="false" ht="15" hidden="false" customHeight="false" outlineLevel="0" collapsed="false">
      <c r="A35" s="0" t="s">
        <v>2325</v>
      </c>
      <c r="B35" s="0" t="s">
        <v>746</v>
      </c>
      <c r="C35" s="0" t="s">
        <v>747</v>
      </c>
      <c r="D35" s="0" t="s">
        <v>50</v>
      </c>
      <c r="E35" s="0" t="s">
        <v>50</v>
      </c>
      <c r="F35" s="0" t="s">
        <v>50</v>
      </c>
      <c r="G35" s="0" t="s">
        <v>2326</v>
      </c>
      <c r="H35" s="0" t="s">
        <v>50</v>
      </c>
      <c r="I35" s="0" t="s">
        <v>50</v>
      </c>
      <c r="J35" s="0" t="s">
        <v>50</v>
      </c>
      <c r="K35" s="0" t="s">
        <v>50</v>
      </c>
      <c r="L35" s="0" t="s">
        <v>50</v>
      </c>
      <c r="M35" s="0" t="s">
        <v>50</v>
      </c>
      <c r="N35" s="0" t="s">
        <v>50</v>
      </c>
      <c r="O35" s="0" t="s">
        <v>50</v>
      </c>
      <c r="P35" s="0" t="s">
        <v>50</v>
      </c>
    </row>
    <row r="36" customFormat="false" ht="15" hidden="false" customHeight="false" outlineLevel="0" collapsed="false">
      <c r="A36" s="0" t="s">
        <v>2327</v>
      </c>
      <c r="B36" s="0" t="s">
        <v>1101</v>
      </c>
      <c r="C36" s="0" t="s">
        <v>1102</v>
      </c>
      <c r="D36" s="0" t="s">
        <v>1103</v>
      </c>
      <c r="E36" s="0" t="s">
        <v>1104</v>
      </c>
      <c r="F36" s="0" t="s">
        <v>50</v>
      </c>
      <c r="G36" s="0" t="s">
        <v>2328</v>
      </c>
      <c r="H36" s="0" t="s">
        <v>2329</v>
      </c>
      <c r="I36" s="0" t="str">
        <f aca="false">HYPERLINK("https://omim.org/entry/615751", "615751")</f>
        <v>615751</v>
      </c>
      <c r="J36" s="0" t="s">
        <v>50</v>
      </c>
      <c r="K36" s="0" t="s">
        <v>50</v>
      </c>
      <c r="L36" s="0" t="s">
        <v>50</v>
      </c>
      <c r="M36" s="0" t="s">
        <v>50</v>
      </c>
      <c r="N36" s="0" t="s">
        <v>50</v>
      </c>
      <c r="O36" s="0" t="s">
        <v>50</v>
      </c>
      <c r="P36" s="0" t="s">
        <v>50</v>
      </c>
    </row>
    <row r="37" customFormat="false" ht="15" hidden="false" customHeight="false" outlineLevel="0" collapsed="false">
      <c r="A37" s="0" t="s">
        <v>2330</v>
      </c>
      <c r="B37" s="0" t="s">
        <v>1154</v>
      </c>
      <c r="C37" s="0" t="s">
        <v>1155</v>
      </c>
      <c r="D37" s="0" t="s">
        <v>1156</v>
      </c>
      <c r="E37" s="0" t="s">
        <v>50</v>
      </c>
      <c r="F37" s="0" t="s">
        <v>2331</v>
      </c>
      <c r="G37" s="0" t="s">
        <v>2332</v>
      </c>
      <c r="H37" s="0" t="s">
        <v>2333</v>
      </c>
      <c r="I37" s="0" t="s">
        <v>50</v>
      </c>
      <c r="J37" s="0" t="s">
        <v>50</v>
      </c>
      <c r="K37" s="0" t="s">
        <v>50</v>
      </c>
      <c r="L37" s="0" t="s">
        <v>50</v>
      </c>
      <c r="M37" s="0" t="s">
        <v>50</v>
      </c>
      <c r="N37" s="0" t="s">
        <v>50</v>
      </c>
      <c r="O37" s="0" t="s">
        <v>50</v>
      </c>
      <c r="P37" s="0" t="s">
        <v>50</v>
      </c>
    </row>
    <row r="38" customFormat="false" ht="15" hidden="false" customHeight="false" outlineLevel="0" collapsed="false">
      <c r="A38" s="0" t="s">
        <v>2334</v>
      </c>
      <c r="B38" s="0" t="s">
        <v>740</v>
      </c>
      <c r="C38" s="0" t="s">
        <v>741</v>
      </c>
      <c r="D38" s="0" t="s">
        <v>742</v>
      </c>
      <c r="E38" s="0" t="s">
        <v>743</v>
      </c>
      <c r="F38" s="0" t="s">
        <v>2335</v>
      </c>
      <c r="G38" s="0" t="s">
        <v>2336</v>
      </c>
      <c r="H38" s="0" t="s">
        <v>2337</v>
      </c>
      <c r="I38" s="0" t="str">
        <f aca="false">HYPERLINK("https://omim.org/entry/611876", "611876")</f>
        <v>611876</v>
      </c>
      <c r="J38" s="0" t="s">
        <v>50</v>
      </c>
      <c r="K38" s="0" t="s">
        <v>50</v>
      </c>
      <c r="L38" s="0" t="s">
        <v>50</v>
      </c>
      <c r="M38" s="0" t="s">
        <v>50</v>
      </c>
      <c r="N38" s="0" t="s">
        <v>50</v>
      </c>
      <c r="O38" s="0" t="s">
        <v>50</v>
      </c>
      <c r="P38" s="0" t="s">
        <v>50</v>
      </c>
    </row>
    <row r="39" customFormat="false" ht="15" hidden="false" customHeight="false" outlineLevel="0" collapsed="false">
      <c r="A39" s="0" t="s">
        <v>2338</v>
      </c>
      <c r="B39" s="0" t="s">
        <v>2133</v>
      </c>
      <c r="C39" s="0" t="s">
        <v>2134</v>
      </c>
      <c r="D39" s="0" t="s">
        <v>2135</v>
      </c>
      <c r="E39" s="0" t="s">
        <v>50</v>
      </c>
      <c r="F39" s="0" t="s">
        <v>50</v>
      </c>
      <c r="G39" s="0" t="s">
        <v>2339</v>
      </c>
      <c r="H39" s="0" t="s">
        <v>2340</v>
      </c>
      <c r="I39" s="0" t="s">
        <v>50</v>
      </c>
      <c r="J39" s="0" t="s">
        <v>50</v>
      </c>
      <c r="K39" s="0" t="s">
        <v>50</v>
      </c>
      <c r="L39" s="0" t="s">
        <v>50</v>
      </c>
      <c r="M39" s="0" t="s">
        <v>50</v>
      </c>
      <c r="N39" s="0" t="s">
        <v>50</v>
      </c>
      <c r="O39" s="0" t="s">
        <v>50</v>
      </c>
      <c r="P39" s="0" t="s">
        <v>50</v>
      </c>
    </row>
    <row r="40" customFormat="false" ht="15" hidden="false" customHeight="false" outlineLevel="0" collapsed="false">
      <c r="A40" s="0" t="s">
        <v>2341</v>
      </c>
      <c r="B40" s="0" t="s">
        <v>50</v>
      </c>
      <c r="C40" s="0" t="s">
        <v>1390</v>
      </c>
      <c r="D40" s="0" t="s">
        <v>1391</v>
      </c>
      <c r="E40" s="0" t="s">
        <v>50</v>
      </c>
      <c r="F40" s="0" t="s">
        <v>2342</v>
      </c>
      <c r="G40" s="0" t="s">
        <v>50</v>
      </c>
      <c r="H40" s="0" t="s">
        <v>50</v>
      </c>
      <c r="I40" s="0" t="s">
        <v>50</v>
      </c>
      <c r="J40" s="0" t="s">
        <v>50</v>
      </c>
      <c r="K40" s="0" t="s">
        <v>50</v>
      </c>
      <c r="L40" s="0" t="s">
        <v>50</v>
      </c>
      <c r="M40" s="0" t="s">
        <v>50</v>
      </c>
      <c r="N40" s="0" t="s">
        <v>50</v>
      </c>
      <c r="O40" s="0" t="s">
        <v>50</v>
      </c>
      <c r="P40" s="0" t="s">
        <v>50</v>
      </c>
    </row>
    <row r="41" customFormat="false" ht="15" hidden="false" customHeight="false" outlineLevel="0" collapsed="false">
      <c r="A41" s="0" t="s">
        <v>2343</v>
      </c>
      <c r="B41" s="0" t="s">
        <v>2096</v>
      </c>
      <c r="C41" s="0" t="s">
        <v>2097</v>
      </c>
      <c r="D41" s="0" t="s">
        <v>50</v>
      </c>
      <c r="E41" s="0" t="s">
        <v>50</v>
      </c>
      <c r="F41" s="0" t="s">
        <v>2344</v>
      </c>
      <c r="G41" s="0" t="s">
        <v>2345</v>
      </c>
      <c r="H41" s="0" t="s">
        <v>50</v>
      </c>
      <c r="I41" s="0" t="s">
        <v>50</v>
      </c>
      <c r="J41" s="0" t="s">
        <v>50</v>
      </c>
      <c r="K41" s="0" t="s">
        <v>50</v>
      </c>
      <c r="L41" s="0" t="s">
        <v>50</v>
      </c>
      <c r="M41" s="0" t="s">
        <v>50</v>
      </c>
      <c r="N41" s="0" t="s">
        <v>50</v>
      </c>
      <c r="O41" s="0" t="s">
        <v>50</v>
      </c>
      <c r="P41" s="0" t="s">
        <v>50</v>
      </c>
    </row>
    <row r="42" customFormat="false" ht="15" hidden="false" customHeight="false" outlineLevel="0" collapsed="false">
      <c r="A42" s="0" t="s">
        <v>2346</v>
      </c>
      <c r="B42" s="0" t="s">
        <v>2113</v>
      </c>
      <c r="C42" s="0" t="s">
        <v>2114</v>
      </c>
      <c r="D42" s="0" t="s">
        <v>50</v>
      </c>
      <c r="E42" s="0" t="s">
        <v>50</v>
      </c>
      <c r="F42" s="0" t="s">
        <v>50</v>
      </c>
      <c r="G42" s="0" t="s">
        <v>50</v>
      </c>
      <c r="H42" s="0" t="s">
        <v>50</v>
      </c>
      <c r="I42" s="0" t="s">
        <v>50</v>
      </c>
      <c r="J42" s="0" t="s">
        <v>50</v>
      </c>
      <c r="K42" s="0" t="s">
        <v>50</v>
      </c>
      <c r="L42" s="0" t="s">
        <v>50</v>
      </c>
      <c r="M42" s="0" t="s">
        <v>50</v>
      </c>
      <c r="N42" s="0" t="s">
        <v>50</v>
      </c>
      <c r="O42" s="0" t="s">
        <v>50</v>
      </c>
      <c r="P42" s="0" t="s">
        <v>50</v>
      </c>
    </row>
    <row r="43" customFormat="false" ht="15" hidden="false" customHeight="false" outlineLevel="0" collapsed="false">
      <c r="A43" s="0" t="s">
        <v>2347</v>
      </c>
      <c r="B43" s="0" t="s">
        <v>624</v>
      </c>
      <c r="C43" s="0" t="s">
        <v>625</v>
      </c>
      <c r="D43" s="0" t="s">
        <v>50</v>
      </c>
      <c r="E43" s="0" t="s">
        <v>50</v>
      </c>
      <c r="F43" s="0" t="s">
        <v>2348</v>
      </c>
      <c r="G43" s="0" t="s">
        <v>2349</v>
      </c>
      <c r="H43" s="0" t="s">
        <v>2350</v>
      </c>
      <c r="I43" s="0" t="s">
        <v>50</v>
      </c>
      <c r="J43" s="0" t="s">
        <v>50</v>
      </c>
      <c r="K43" s="0" t="s">
        <v>50</v>
      </c>
      <c r="L43" s="0" t="s">
        <v>50</v>
      </c>
      <c r="M43" s="0" t="s">
        <v>50</v>
      </c>
      <c r="N43" s="0" t="s">
        <v>50</v>
      </c>
      <c r="O43" s="0" t="s">
        <v>50</v>
      </c>
      <c r="P43" s="0" t="s">
        <v>50</v>
      </c>
    </row>
    <row r="44" customFormat="false" ht="15" hidden="false" customHeight="false" outlineLevel="0" collapsed="false">
      <c r="A44" s="0" t="s">
        <v>2351</v>
      </c>
      <c r="B44" s="0" t="s">
        <v>377</v>
      </c>
      <c r="C44" s="0" t="s">
        <v>378</v>
      </c>
      <c r="D44" s="0" t="s">
        <v>379</v>
      </c>
      <c r="E44" s="0" t="s">
        <v>50</v>
      </c>
      <c r="F44" s="0" t="s">
        <v>2352</v>
      </c>
      <c r="G44" s="0" t="s">
        <v>2353</v>
      </c>
      <c r="H44" s="0" t="s">
        <v>50</v>
      </c>
      <c r="I44" s="0" t="s">
        <v>50</v>
      </c>
      <c r="J44" s="0" t="s">
        <v>50</v>
      </c>
      <c r="K44" s="0" t="s">
        <v>50</v>
      </c>
      <c r="L44" s="0" t="s">
        <v>50</v>
      </c>
      <c r="M44" s="0" t="s">
        <v>50</v>
      </c>
      <c r="N44" s="0" t="s">
        <v>50</v>
      </c>
      <c r="O44" s="0" t="s">
        <v>50</v>
      </c>
      <c r="P44" s="0" t="s">
        <v>50</v>
      </c>
    </row>
    <row r="45" customFormat="false" ht="15" hidden="false" customHeight="false" outlineLevel="0" collapsed="false">
      <c r="A45" s="0" t="s">
        <v>2354</v>
      </c>
      <c r="B45" s="0" t="s">
        <v>1708</v>
      </c>
      <c r="C45" s="0" t="s">
        <v>1709</v>
      </c>
      <c r="D45" s="0" t="s">
        <v>1710</v>
      </c>
      <c r="E45" s="0" t="s">
        <v>50</v>
      </c>
      <c r="F45" s="0" t="s">
        <v>2355</v>
      </c>
      <c r="G45" s="0" t="s">
        <v>2356</v>
      </c>
      <c r="H45" s="0" t="s">
        <v>2357</v>
      </c>
      <c r="I45" s="0" t="s">
        <v>50</v>
      </c>
      <c r="J45" s="0" t="s">
        <v>50</v>
      </c>
      <c r="K45" s="0" t="s">
        <v>50</v>
      </c>
      <c r="L45" s="0" t="s">
        <v>50</v>
      </c>
      <c r="M45" s="0" t="s">
        <v>50</v>
      </c>
      <c r="N45" s="0" t="s">
        <v>50</v>
      </c>
      <c r="O45" s="0" t="s">
        <v>50</v>
      </c>
      <c r="P45" s="0" t="s">
        <v>50</v>
      </c>
    </row>
    <row r="46" customFormat="false" ht="15" hidden="false" customHeight="false" outlineLevel="0" collapsed="false">
      <c r="A46" s="0" t="s">
        <v>2358</v>
      </c>
      <c r="B46" s="0" t="s">
        <v>1469</v>
      </c>
      <c r="C46" s="0" t="s">
        <v>1470</v>
      </c>
      <c r="D46" s="0" t="s">
        <v>1471</v>
      </c>
      <c r="E46" s="0" t="s">
        <v>50</v>
      </c>
      <c r="F46" s="0" t="s">
        <v>50</v>
      </c>
      <c r="G46" s="0" t="s">
        <v>2359</v>
      </c>
      <c r="H46" s="0" t="s">
        <v>2360</v>
      </c>
      <c r="I46" s="0" t="s">
        <v>50</v>
      </c>
      <c r="J46" s="0" t="s">
        <v>50</v>
      </c>
      <c r="K46" s="0" t="s">
        <v>50</v>
      </c>
      <c r="L46" s="0" t="s">
        <v>50</v>
      </c>
      <c r="M46" s="0" t="s">
        <v>50</v>
      </c>
      <c r="N46" s="0" t="s">
        <v>50</v>
      </c>
      <c r="O46" s="0" t="s">
        <v>50</v>
      </c>
      <c r="P46" s="0" t="s">
        <v>50</v>
      </c>
    </row>
    <row r="47" customFormat="false" ht="15" hidden="false" customHeight="false" outlineLevel="0" collapsed="false">
      <c r="A47" s="0" t="s">
        <v>2361</v>
      </c>
      <c r="B47" s="0" t="s">
        <v>1872</v>
      </c>
      <c r="C47" s="0" t="s">
        <v>1873</v>
      </c>
      <c r="D47" s="0" t="s">
        <v>1874</v>
      </c>
      <c r="E47" s="0" t="s">
        <v>1875</v>
      </c>
      <c r="F47" s="0" t="s">
        <v>50</v>
      </c>
      <c r="G47" s="0" t="s">
        <v>2362</v>
      </c>
      <c r="H47" s="0" t="s">
        <v>2363</v>
      </c>
      <c r="I47" s="0" t="s">
        <v>50</v>
      </c>
      <c r="J47" s="0" t="s">
        <v>50</v>
      </c>
      <c r="K47" s="0" t="s">
        <v>50</v>
      </c>
      <c r="L47" s="0" t="s">
        <v>50</v>
      </c>
      <c r="M47" s="0" t="s">
        <v>50</v>
      </c>
      <c r="N47" s="0" t="s">
        <v>50</v>
      </c>
      <c r="O47" s="0" t="s">
        <v>50</v>
      </c>
      <c r="P47" s="0" t="s">
        <v>50</v>
      </c>
    </row>
    <row r="48" customFormat="false" ht="15" hidden="false" customHeight="false" outlineLevel="0" collapsed="false">
      <c r="A48" s="0" t="s">
        <v>2364</v>
      </c>
      <c r="B48" s="0" t="s">
        <v>603</v>
      </c>
      <c r="C48" s="0" t="s">
        <v>604</v>
      </c>
      <c r="D48" s="0" t="s">
        <v>605</v>
      </c>
      <c r="E48" s="0" t="s">
        <v>50</v>
      </c>
      <c r="F48" s="0" t="s">
        <v>2365</v>
      </c>
      <c r="G48" s="0" t="s">
        <v>2366</v>
      </c>
      <c r="H48" s="0" t="s">
        <v>2367</v>
      </c>
      <c r="I48" s="0" t="s">
        <v>50</v>
      </c>
      <c r="J48" s="0" t="s">
        <v>50</v>
      </c>
      <c r="K48" s="0" t="s">
        <v>50</v>
      </c>
      <c r="L48" s="0" t="s">
        <v>50</v>
      </c>
      <c r="M48" s="0" t="s">
        <v>50</v>
      </c>
      <c r="N48" s="0" t="s">
        <v>50</v>
      </c>
      <c r="O48" s="0" t="s">
        <v>50</v>
      </c>
      <c r="P48" s="0" t="s">
        <v>50</v>
      </c>
    </row>
    <row r="49" customFormat="false" ht="15" hidden="false" customHeight="false" outlineLevel="0" collapsed="false">
      <c r="A49" s="0" t="s">
        <v>2368</v>
      </c>
      <c r="B49" s="0" t="s">
        <v>871</v>
      </c>
      <c r="C49" s="0" t="s">
        <v>872</v>
      </c>
      <c r="D49" s="0" t="s">
        <v>873</v>
      </c>
      <c r="E49" s="0" t="s">
        <v>874</v>
      </c>
      <c r="F49" s="0" t="s">
        <v>2369</v>
      </c>
      <c r="G49" s="0" t="s">
        <v>2370</v>
      </c>
      <c r="H49" s="0" t="s">
        <v>2371</v>
      </c>
      <c r="I49" s="0" t="str">
        <f aca="false">HYPERLINK("https://omim.org/entry/614845", "614845")</f>
        <v>614845</v>
      </c>
      <c r="J49" s="0" t="s">
        <v>50</v>
      </c>
      <c r="K49" s="0" t="s">
        <v>50</v>
      </c>
      <c r="L49" s="0" t="s">
        <v>50</v>
      </c>
      <c r="M49" s="0" t="s">
        <v>50</v>
      </c>
      <c r="N49" s="0" t="s">
        <v>50</v>
      </c>
      <c r="O49" s="0" t="s">
        <v>50</v>
      </c>
      <c r="P49" s="0" t="s">
        <v>50</v>
      </c>
    </row>
    <row r="50" customFormat="false" ht="15" hidden="false" customHeight="false" outlineLevel="0" collapsed="false">
      <c r="A50" s="0" t="s">
        <v>2372</v>
      </c>
      <c r="B50" s="0" t="s">
        <v>981</v>
      </c>
      <c r="C50" s="0" t="s">
        <v>982</v>
      </c>
      <c r="D50" s="0" t="s">
        <v>983</v>
      </c>
      <c r="E50" s="0" t="s">
        <v>50</v>
      </c>
      <c r="F50" s="0" t="s">
        <v>50</v>
      </c>
      <c r="G50" s="0" t="s">
        <v>2373</v>
      </c>
      <c r="H50" s="0" t="s">
        <v>2374</v>
      </c>
      <c r="I50" s="0" t="s">
        <v>50</v>
      </c>
      <c r="J50" s="0" t="s">
        <v>50</v>
      </c>
      <c r="K50" s="0" t="s">
        <v>50</v>
      </c>
      <c r="L50" s="0" t="s">
        <v>50</v>
      </c>
      <c r="M50" s="0" t="s">
        <v>50</v>
      </c>
      <c r="N50" s="0" t="s">
        <v>50</v>
      </c>
      <c r="O50" s="0" t="s">
        <v>50</v>
      </c>
      <c r="P50" s="0" t="s">
        <v>50</v>
      </c>
    </row>
    <row r="51" customFormat="false" ht="15" hidden="false" customHeight="false" outlineLevel="0" collapsed="false">
      <c r="A51" s="0" t="s">
        <v>2375</v>
      </c>
      <c r="B51" s="0" t="s">
        <v>1491</v>
      </c>
      <c r="C51" s="0" t="s">
        <v>1492</v>
      </c>
      <c r="D51" s="0" t="s">
        <v>1493</v>
      </c>
      <c r="E51" s="0" t="s">
        <v>1494</v>
      </c>
      <c r="F51" s="0" t="s">
        <v>2376</v>
      </c>
      <c r="G51" s="0" t="s">
        <v>2377</v>
      </c>
      <c r="H51" s="0" t="s">
        <v>2378</v>
      </c>
      <c r="I51" s="0" t="str">
        <f aca="false">HYPERLINK("https://omim.org/entry/601462", "601462")</f>
        <v>601462</v>
      </c>
      <c r="J51" s="0" t="str">
        <f aca="false">HYPERLINK("https://omim.org/entry/608930", "608930")</f>
        <v>608930</v>
      </c>
      <c r="K51" s="0" t="s">
        <v>50</v>
      </c>
      <c r="L51" s="0" t="s">
        <v>50</v>
      </c>
      <c r="M51" s="0" t="s">
        <v>50</v>
      </c>
      <c r="N51" s="0" t="s">
        <v>50</v>
      </c>
      <c r="O51" s="0" t="s">
        <v>50</v>
      </c>
      <c r="P51" s="0" t="s">
        <v>50</v>
      </c>
    </row>
    <row r="52" customFormat="false" ht="15" hidden="false" customHeight="false" outlineLevel="0" collapsed="false">
      <c r="A52" s="0" t="s">
        <v>2379</v>
      </c>
      <c r="B52" s="0" t="s">
        <v>1671</v>
      </c>
      <c r="C52" s="0" t="s">
        <v>1672</v>
      </c>
      <c r="D52" s="0" t="s">
        <v>1673</v>
      </c>
      <c r="E52" s="0" t="s">
        <v>1674</v>
      </c>
      <c r="F52" s="0" t="s">
        <v>2380</v>
      </c>
      <c r="G52" s="0" t="s">
        <v>2381</v>
      </c>
      <c r="H52" s="0" t="s">
        <v>2382</v>
      </c>
      <c r="I52" s="0" t="s">
        <v>50</v>
      </c>
      <c r="J52" s="0" t="s">
        <v>50</v>
      </c>
      <c r="K52" s="0" t="s">
        <v>50</v>
      </c>
      <c r="L52" s="0" t="s">
        <v>50</v>
      </c>
      <c r="M52" s="0" t="s">
        <v>50</v>
      </c>
      <c r="N52" s="0" t="s">
        <v>50</v>
      </c>
      <c r="O52" s="0" t="s">
        <v>50</v>
      </c>
      <c r="P52" s="0" t="s">
        <v>50</v>
      </c>
    </row>
    <row r="53" customFormat="false" ht="15" hidden="false" customHeight="false" outlineLevel="0" collapsed="false">
      <c r="A53" s="0" t="s">
        <v>2383</v>
      </c>
      <c r="B53" s="0" t="s">
        <v>2384</v>
      </c>
      <c r="C53" s="0" t="s">
        <v>2385</v>
      </c>
      <c r="D53" s="0" t="s">
        <v>2386</v>
      </c>
      <c r="E53" s="0" t="s">
        <v>50</v>
      </c>
      <c r="F53" s="0" t="s">
        <v>2387</v>
      </c>
      <c r="G53" s="0" t="s">
        <v>2388</v>
      </c>
      <c r="H53" s="0" t="s">
        <v>2389</v>
      </c>
      <c r="I53" s="0" t="s">
        <v>50</v>
      </c>
      <c r="J53" s="0" t="s">
        <v>50</v>
      </c>
      <c r="K53" s="0" t="s">
        <v>50</v>
      </c>
      <c r="L53" s="0" t="s">
        <v>50</v>
      </c>
      <c r="M53" s="0" t="s">
        <v>50</v>
      </c>
      <c r="N53" s="0" t="s">
        <v>50</v>
      </c>
      <c r="O53" s="0" t="s">
        <v>50</v>
      </c>
      <c r="P53" s="0" t="s">
        <v>50</v>
      </c>
    </row>
    <row r="54" customFormat="false" ht="15" hidden="false" customHeight="false" outlineLevel="0" collapsed="false">
      <c r="A54" s="0" t="s">
        <v>2390</v>
      </c>
      <c r="B54" s="0" t="s">
        <v>2391</v>
      </c>
      <c r="C54" s="0" t="s">
        <v>2392</v>
      </c>
      <c r="D54" s="0" t="s">
        <v>2386</v>
      </c>
      <c r="E54" s="0" t="s">
        <v>50</v>
      </c>
      <c r="F54" s="0" t="s">
        <v>2387</v>
      </c>
      <c r="G54" s="0" t="s">
        <v>50</v>
      </c>
      <c r="H54" s="0" t="s">
        <v>50</v>
      </c>
      <c r="I54" s="0" t="s">
        <v>50</v>
      </c>
      <c r="J54" s="0" t="s">
        <v>50</v>
      </c>
      <c r="K54" s="0" t="s">
        <v>50</v>
      </c>
      <c r="L54" s="0" t="s">
        <v>50</v>
      </c>
      <c r="M54" s="0" t="s">
        <v>50</v>
      </c>
      <c r="N54" s="0" t="s">
        <v>50</v>
      </c>
      <c r="O54" s="0" t="s">
        <v>50</v>
      </c>
      <c r="P54" s="0" t="s">
        <v>50</v>
      </c>
    </row>
    <row r="55" customFormat="false" ht="15" hidden="false" customHeight="false" outlineLevel="0" collapsed="false">
      <c r="A55" s="0" t="s">
        <v>2393</v>
      </c>
      <c r="B55" s="0" t="s">
        <v>2071</v>
      </c>
      <c r="C55" s="0" t="s">
        <v>2072</v>
      </c>
      <c r="D55" s="0" t="s">
        <v>2073</v>
      </c>
      <c r="E55" s="0" t="s">
        <v>2074</v>
      </c>
      <c r="F55" s="0" t="s">
        <v>2394</v>
      </c>
      <c r="G55" s="0" t="s">
        <v>2395</v>
      </c>
      <c r="H55" s="0" t="s">
        <v>2396</v>
      </c>
      <c r="I55" s="0" t="str">
        <f aca="false">HYPERLINK("https://omim.org/entry/614417", "614417")</f>
        <v>614417</v>
      </c>
      <c r="J55" s="0" t="str">
        <f aca="false">HYPERLINK("https://omim.org/entry/614418", "614418")</f>
        <v>614418</v>
      </c>
      <c r="K55" s="0" t="s">
        <v>50</v>
      </c>
      <c r="L55" s="0" t="s">
        <v>50</v>
      </c>
      <c r="M55" s="0" t="s">
        <v>50</v>
      </c>
      <c r="N55" s="0" t="s">
        <v>50</v>
      </c>
      <c r="O55" s="0" t="s">
        <v>50</v>
      </c>
      <c r="P55" s="0" t="s">
        <v>50</v>
      </c>
    </row>
    <row r="56" customFormat="false" ht="15" hidden="false" customHeight="false" outlineLevel="0" collapsed="false">
      <c r="A56" s="0" t="s">
        <v>2397</v>
      </c>
      <c r="B56" s="0" t="s">
        <v>2001</v>
      </c>
      <c r="C56" s="0" t="s">
        <v>2002</v>
      </c>
      <c r="D56" s="0" t="s">
        <v>50</v>
      </c>
      <c r="E56" s="0" t="s">
        <v>50</v>
      </c>
      <c r="F56" s="0" t="s">
        <v>50</v>
      </c>
      <c r="G56" s="0" t="s">
        <v>50</v>
      </c>
      <c r="H56" s="0" t="s">
        <v>50</v>
      </c>
      <c r="I56" s="0" t="s">
        <v>50</v>
      </c>
      <c r="J56" s="0" t="s">
        <v>50</v>
      </c>
      <c r="K56" s="0" t="s">
        <v>50</v>
      </c>
      <c r="L56" s="0" t="s">
        <v>50</v>
      </c>
      <c r="M56" s="0" t="s">
        <v>50</v>
      </c>
      <c r="N56" s="0" t="s">
        <v>50</v>
      </c>
      <c r="O56" s="0" t="s">
        <v>50</v>
      </c>
      <c r="P56" s="0" t="s">
        <v>50</v>
      </c>
    </row>
    <row r="57" customFormat="false" ht="15" hidden="false" customHeight="false" outlineLevel="0" collapsed="false">
      <c r="A57" s="0" t="s">
        <v>2398</v>
      </c>
      <c r="B57" s="0" t="s">
        <v>1033</v>
      </c>
      <c r="C57" s="0" t="s">
        <v>1034</v>
      </c>
      <c r="D57" s="0" t="s">
        <v>1035</v>
      </c>
      <c r="E57" s="0" t="s">
        <v>50</v>
      </c>
      <c r="F57" s="0" t="s">
        <v>50</v>
      </c>
      <c r="G57" s="0" t="s">
        <v>2399</v>
      </c>
      <c r="H57" s="0" t="s">
        <v>2400</v>
      </c>
      <c r="I57" s="0" t="s">
        <v>50</v>
      </c>
      <c r="J57" s="0" t="s">
        <v>50</v>
      </c>
      <c r="K57" s="0" t="s">
        <v>50</v>
      </c>
      <c r="L57" s="0" t="s">
        <v>50</v>
      </c>
      <c r="M57" s="0" t="s">
        <v>50</v>
      </c>
      <c r="N57" s="0" t="s">
        <v>50</v>
      </c>
      <c r="O57" s="0" t="s">
        <v>50</v>
      </c>
      <c r="P57" s="0" t="s">
        <v>50</v>
      </c>
    </row>
    <row r="58" customFormat="false" ht="15" hidden="false" customHeight="false" outlineLevel="0" collapsed="false">
      <c r="A58" s="0" t="s">
        <v>2401</v>
      </c>
      <c r="B58" s="0" t="s">
        <v>414</v>
      </c>
      <c r="C58" s="0" t="s">
        <v>415</v>
      </c>
      <c r="D58" s="0" t="s">
        <v>416</v>
      </c>
      <c r="E58" s="0" t="s">
        <v>50</v>
      </c>
      <c r="F58" s="0" t="s">
        <v>2402</v>
      </c>
      <c r="G58" s="0" t="s">
        <v>2403</v>
      </c>
      <c r="H58" s="0" t="s">
        <v>2404</v>
      </c>
      <c r="I58" s="0" t="s">
        <v>50</v>
      </c>
      <c r="J58" s="0" t="s">
        <v>50</v>
      </c>
      <c r="K58" s="0" t="s">
        <v>50</v>
      </c>
      <c r="L58" s="0" t="s">
        <v>50</v>
      </c>
      <c r="M58" s="0" t="s">
        <v>50</v>
      </c>
      <c r="N58" s="0" t="s">
        <v>50</v>
      </c>
      <c r="O58" s="0" t="s">
        <v>50</v>
      </c>
      <c r="P58" s="0" t="s">
        <v>50</v>
      </c>
    </row>
    <row r="59" customFormat="false" ht="15" hidden="false" customHeight="false" outlineLevel="0" collapsed="false">
      <c r="A59" s="0" t="s">
        <v>2405</v>
      </c>
      <c r="B59" s="0" t="s">
        <v>907</v>
      </c>
      <c r="C59" s="0" t="s">
        <v>908</v>
      </c>
      <c r="D59" s="0" t="s">
        <v>909</v>
      </c>
      <c r="E59" s="0" t="s">
        <v>50</v>
      </c>
      <c r="F59" s="0" t="s">
        <v>2406</v>
      </c>
      <c r="G59" s="0" t="s">
        <v>50</v>
      </c>
      <c r="H59" s="0" t="s">
        <v>50</v>
      </c>
      <c r="I59" s="0" t="s">
        <v>50</v>
      </c>
      <c r="J59" s="0" t="s">
        <v>50</v>
      </c>
      <c r="K59" s="0" t="s">
        <v>50</v>
      </c>
      <c r="L59" s="0" t="s">
        <v>50</v>
      </c>
      <c r="M59" s="0" t="s">
        <v>50</v>
      </c>
      <c r="N59" s="0" t="s">
        <v>50</v>
      </c>
      <c r="O59" s="0" t="s">
        <v>50</v>
      </c>
      <c r="P59" s="0" t="s">
        <v>50</v>
      </c>
    </row>
    <row r="60" customFormat="false" ht="15" hidden="false" customHeight="false" outlineLevel="0" collapsed="false">
      <c r="A60" s="0" t="s">
        <v>2407</v>
      </c>
      <c r="B60" s="0" t="s">
        <v>50</v>
      </c>
      <c r="C60" s="0" t="s">
        <v>534</v>
      </c>
      <c r="D60" s="0" t="s">
        <v>535</v>
      </c>
      <c r="E60" s="0" t="s">
        <v>50</v>
      </c>
      <c r="F60" s="0" t="s">
        <v>50</v>
      </c>
      <c r="G60" s="0" t="s">
        <v>50</v>
      </c>
      <c r="H60" s="0" t="s">
        <v>50</v>
      </c>
      <c r="I60" s="0" t="s">
        <v>50</v>
      </c>
      <c r="J60" s="0" t="s">
        <v>50</v>
      </c>
      <c r="K60" s="0" t="s">
        <v>50</v>
      </c>
      <c r="L60" s="0" t="s">
        <v>50</v>
      </c>
      <c r="M60" s="0" t="s">
        <v>50</v>
      </c>
      <c r="N60" s="0" t="s">
        <v>50</v>
      </c>
      <c r="O60" s="0" t="s">
        <v>50</v>
      </c>
      <c r="P60" s="0" t="s">
        <v>50</v>
      </c>
    </row>
    <row r="61" customFormat="false" ht="15" hidden="false" customHeight="false" outlineLevel="0" collapsed="false">
      <c r="A61" s="0" t="s">
        <v>2408</v>
      </c>
      <c r="B61" s="0" t="s">
        <v>1261</v>
      </c>
      <c r="C61" s="0" t="s">
        <v>1262</v>
      </c>
      <c r="D61" s="0" t="s">
        <v>50</v>
      </c>
      <c r="E61" s="0" t="s">
        <v>1263</v>
      </c>
      <c r="F61" s="0" t="s">
        <v>50</v>
      </c>
      <c r="G61" s="0" t="s">
        <v>2409</v>
      </c>
      <c r="H61" s="0" t="s">
        <v>2410</v>
      </c>
      <c r="I61" s="0" t="str">
        <f aca="false">HYPERLINK("https://omim.org/entry/604777", "604777")</f>
        <v>604777</v>
      </c>
      <c r="J61" s="0" t="s">
        <v>50</v>
      </c>
      <c r="K61" s="0" t="s">
        <v>50</v>
      </c>
      <c r="L61" s="0" t="s">
        <v>50</v>
      </c>
      <c r="M61" s="0" t="s">
        <v>50</v>
      </c>
      <c r="N61" s="0" t="s">
        <v>50</v>
      </c>
      <c r="O61" s="0" t="s">
        <v>50</v>
      </c>
      <c r="P61" s="0" t="s">
        <v>50</v>
      </c>
    </row>
    <row r="62" customFormat="false" ht="15" hidden="false" customHeight="false" outlineLevel="0" collapsed="false">
      <c r="A62" s="0" t="s">
        <v>2411</v>
      </c>
      <c r="B62" s="0" t="s">
        <v>832</v>
      </c>
      <c r="C62" s="0" t="s">
        <v>2412</v>
      </c>
      <c r="D62" s="0" t="s">
        <v>50</v>
      </c>
      <c r="E62" s="0" t="s">
        <v>50</v>
      </c>
      <c r="F62" s="0" t="s">
        <v>2413</v>
      </c>
      <c r="G62" s="0" t="s">
        <v>50</v>
      </c>
      <c r="H62" s="0" t="s">
        <v>50</v>
      </c>
      <c r="I62" s="0" t="s">
        <v>50</v>
      </c>
      <c r="J62" s="0" t="s">
        <v>50</v>
      </c>
      <c r="K62" s="0" t="s">
        <v>50</v>
      </c>
      <c r="L62" s="0" t="s">
        <v>50</v>
      </c>
      <c r="M62" s="0" t="s">
        <v>50</v>
      </c>
      <c r="N62" s="0" t="s">
        <v>50</v>
      </c>
      <c r="O62" s="0" t="s">
        <v>50</v>
      </c>
      <c r="P62" s="0" t="s">
        <v>50</v>
      </c>
    </row>
    <row r="63" customFormat="false" ht="15" hidden="false" customHeight="false" outlineLevel="0" collapsed="false">
      <c r="A63" s="0" t="s">
        <v>2414</v>
      </c>
      <c r="B63" s="0" t="s">
        <v>50</v>
      </c>
      <c r="C63" s="0" t="s">
        <v>2415</v>
      </c>
      <c r="D63" s="0" t="s">
        <v>50</v>
      </c>
      <c r="E63" s="0" t="s">
        <v>50</v>
      </c>
      <c r="F63" s="0" t="s">
        <v>50</v>
      </c>
      <c r="G63" s="0" t="s">
        <v>2416</v>
      </c>
      <c r="H63" s="0" t="s">
        <v>2417</v>
      </c>
      <c r="I63" s="0" t="s">
        <v>50</v>
      </c>
      <c r="J63" s="0" t="s">
        <v>50</v>
      </c>
      <c r="K63" s="0" t="s">
        <v>50</v>
      </c>
      <c r="L63" s="0" t="s">
        <v>50</v>
      </c>
      <c r="M63" s="0" t="s">
        <v>50</v>
      </c>
      <c r="N63" s="0" t="s">
        <v>50</v>
      </c>
      <c r="O63" s="0" t="s">
        <v>50</v>
      </c>
      <c r="P63" s="0" t="s">
        <v>50</v>
      </c>
    </row>
    <row r="64" customFormat="false" ht="15" hidden="false" customHeight="false" outlineLevel="0" collapsed="false">
      <c r="A64" s="0" t="s">
        <v>2418</v>
      </c>
      <c r="B64" s="0" t="s">
        <v>50</v>
      </c>
      <c r="C64" s="0" t="s">
        <v>885</v>
      </c>
      <c r="D64" s="0" t="s">
        <v>886</v>
      </c>
      <c r="E64" s="0" t="s">
        <v>50</v>
      </c>
      <c r="F64" s="0" t="s">
        <v>2419</v>
      </c>
      <c r="G64" s="0" t="s">
        <v>2420</v>
      </c>
      <c r="H64" s="0" t="s">
        <v>2421</v>
      </c>
      <c r="I64" s="0" t="s">
        <v>50</v>
      </c>
      <c r="J64" s="0" t="s">
        <v>50</v>
      </c>
      <c r="K64" s="0" t="s">
        <v>50</v>
      </c>
      <c r="L64" s="0" t="s">
        <v>50</v>
      </c>
      <c r="M64" s="0" t="s">
        <v>50</v>
      </c>
      <c r="N64" s="0" t="s">
        <v>50</v>
      </c>
      <c r="O64" s="0" t="s">
        <v>50</v>
      </c>
      <c r="P64" s="0" t="s">
        <v>50</v>
      </c>
    </row>
    <row r="65" customFormat="false" ht="15" hidden="false" customHeight="false" outlineLevel="0" collapsed="false">
      <c r="A65" s="0" t="s">
        <v>2422</v>
      </c>
      <c r="B65" s="0" t="s">
        <v>1931</v>
      </c>
      <c r="C65" s="0" t="s">
        <v>1932</v>
      </c>
      <c r="D65" s="0" t="s">
        <v>50</v>
      </c>
      <c r="E65" s="0" t="s">
        <v>50</v>
      </c>
      <c r="F65" s="0" t="s">
        <v>2423</v>
      </c>
      <c r="G65" s="0" t="s">
        <v>50</v>
      </c>
      <c r="H65" s="0" t="s">
        <v>50</v>
      </c>
      <c r="I65" s="0" t="s">
        <v>50</v>
      </c>
      <c r="J65" s="0" t="s">
        <v>50</v>
      </c>
      <c r="K65" s="0" t="s">
        <v>50</v>
      </c>
      <c r="L65" s="0" t="s">
        <v>50</v>
      </c>
      <c r="M65" s="0" t="s">
        <v>50</v>
      </c>
      <c r="N65" s="0" t="s">
        <v>50</v>
      </c>
      <c r="O65" s="0" t="s">
        <v>50</v>
      </c>
      <c r="P65" s="0" t="s">
        <v>50</v>
      </c>
    </row>
    <row r="66" customFormat="false" ht="15" hidden="false" customHeight="false" outlineLevel="0" collapsed="false">
      <c r="A66" s="0" t="s">
        <v>2424</v>
      </c>
      <c r="B66" s="0" t="s">
        <v>1163</v>
      </c>
      <c r="C66" s="0" t="s">
        <v>1164</v>
      </c>
      <c r="D66" s="0" t="s">
        <v>1165</v>
      </c>
      <c r="E66" s="0" t="s">
        <v>50</v>
      </c>
      <c r="F66" s="0" t="s">
        <v>50</v>
      </c>
      <c r="G66" s="0" t="s">
        <v>2425</v>
      </c>
      <c r="H66" s="0" t="s">
        <v>2426</v>
      </c>
      <c r="I66" s="0" t="s">
        <v>50</v>
      </c>
      <c r="J66" s="0" t="s">
        <v>50</v>
      </c>
      <c r="K66" s="0" t="s">
        <v>50</v>
      </c>
      <c r="L66" s="0" t="s">
        <v>50</v>
      </c>
      <c r="M66" s="0" t="s">
        <v>50</v>
      </c>
      <c r="N66" s="0" t="s">
        <v>50</v>
      </c>
      <c r="O66" s="0" t="s">
        <v>50</v>
      </c>
      <c r="P66" s="0" t="s">
        <v>50</v>
      </c>
    </row>
    <row r="67" customFormat="false" ht="15" hidden="false" customHeight="false" outlineLevel="0" collapsed="false">
      <c r="A67" s="0" t="s">
        <v>2427</v>
      </c>
      <c r="B67" s="0" t="s">
        <v>563</v>
      </c>
      <c r="C67" s="0" t="s">
        <v>564</v>
      </c>
      <c r="D67" s="0" t="s">
        <v>565</v>
      </c>
      <c r="E67" s="0" t="s">
        <v>566</v>
      </c>
      <c r="F67" s="0" t="s">
        <v>50</v>
      </c>
      <c r="G67" s="0" t="s">
        <v>2428</v>
      </c>
      <c r="H67" s="0" t="s">
        <v>2429</v>
      </c>
      <c r="I67" s="0" t="str">
        <f aca="false">HYPERLINK("https://omim.org/entry/263750", "263750")</f>
        <v>263750</v>
      </c>
      <c r="J67" s="0" t="s">
        <v>50</v>
      </c>
      <c r="K67" s="0" t="s">
        <v>50</v>
      </c>
      <c r="L67" s="0" t="s">
        <v>50</v>
      </c>
      <c r="M67" s="0" t="s">
        <v>50</v>
      </c>
      <c r="N67" s="0" t="s">
        <v>50</v>
      </c>
      <c r="O67" s="0" t="s">
        <v>50</v>
      </c>
      <c r="P67" s="0" t="s">
        <v>50</v>
      </c>
    </row>
    <row r="68" customFormat="false" ht="15" hidden="false" customHeight="false" outlineLevel="0" collapsed="false">
      <c r="A68" s="0" t="s">
        <v>2430</v>
      </c>
      <c r="B68" s="0" t="s">
        <v>1486</v>
      </c>
      <c r="C68" s="0" t="s">
        <v>1487</v>
      </c>
      <c r="D68" s="0" t="s">
        <v>1488</v>
      </c>
      <c r="E68" s="0" t="s">
        <v>50</v>
      </c>
      <c r="F68" s="0" t="s">
        <v>2431</v>
      </c>
      <c r="G68" s="0" t="s">
        <v>2432</v>
      </c>
      <c r="H68" s="0" t="s">
        <v>2433</v>
      </c>
      <c r="I68" s="0" t="s">
        <v>50</v>
      </c>
      <c r="J68" s="0" t="s">
        <v>50</v>
      </c>
      <c r="K68" s="0" t="s">
        <v>50</v>
      </c>
      <c r="L68" s="0" t="s">
        <v>50</v>
      </c>
      <c r="M68" s="0" t="s">
        <v>50</v>
      </c>
      <c r="N68" s="0" t="s">
        <v>50</v>
      </c>
      <c r="O68" s="0" t="s">
        <v>50</v>
      </c>
      <c r="P68" s="0" t="s">
        <v>50</v>
      </c>
    </row>
    <row r="69" customFormat="false" ht="15" hidden="false" customHeight="false" outlineLevel="0" collapsed="false">
      <c r="A69" s="0" t="s">
        <v>2434</v>
      </c>
      <c r="B69" s="0" t="s">
        <v>265</v>
      </c>
      <c r="C69" s="0" t="s">
        <v>266</v>
      </c>
      <c r="D69" s="0" t="s">
        <v>267</v>
      </c>
      <c r="E69" s="0" t="s">
        <v>268</v>
      </c>
      <c r="F69" s="0" t="s">
        <v>50</v>
      </c>
      <c r="G69" s="0" t="s">
        <v>2435</v>
      </c>
      <c r="H69" s="0" t="s">
        <v>2436</v>
      </c>
      <c r="I69" s="0" t="str">
        <f aca="false">HYPERLINK("https://omim.org/entry/267000", "267000")</f>
        <v>267000</v>
      </c>
      <c r="J69" s="0" t="s">
        <v>50</v>
      </c>
      <c r="K69" s="0" t="s">
        <v>50</v>
      </c>
      <c r="L69" s="0" t="s">
        <v>50</v>
      </c>
      <c r="M69" s="0" t="s">
        <v>50</v>
      </c>
      <c r="N69" s="0" t="s">
        <v>50</v>
      </c>
      <c r="O69" s="0" t="s">
        <v>50</v>
      </c>
      <c r="P69" s="0" t="s">
        <v>50</v>
      </c>
    </row>
    <row r="70" customFormat="false" ht="15" hidden="false" customHeight="false" outlineLevel="0" collapsed="false">
      <c r="A70" s="0" t="s">
        <v>2437</v>
      </c>
      <c r="B70" s="0" t="s">
        <v>196</v>
      </c>
      <c r="C70" s="0" t="s">
        <v>197</v>
      </c>
      <c r="D70" s="0" t="s">
        <v>198</v>
      </c>
      <c r="E70" s="0" t="s">
        <v>199</v>
      </c>
      <c r="F70" s="0" t="s">
        <v>2438</v>
      </c>
      <c r="G70" s="0" t="s">
        <v>2439</v>
      </c>
      <c r="H70" s="0" t="s">
        <v>2440</v>
      </c>
      <c r="I70" s="0" t="str">
        <f aca="false">HYPERLINK("https://omim.org/entry/310200", "310200")</f>
        <v>310200</v>
      </c>
      <c r="J70" s="0" t="str">
        <f aca="false">HYPERLINK("https://omim.org/entry/300376", "300376")</f>
        <v>300376</v>
      </c>
      <c r="K70" s="0" t="str">
        <f aca="false">HYPERLINK("https://omim.org/entry/302045", "302045")</f>
        <v>302045</v>
      </c>
      <c r="L70" s="0" t="s">
        <v>50</v>
      </c>
      <c r="M70" s="0" t="s">
        <v>50</v>
      </c>
      <c r="N70" s="0" t="s">
        <v>50</v>
      </c>
      <c r="O70" s="0" t="s">
        <v>50</v>
      </c>
      <c r="P70" s="0" t="s">
        <v>50</v>
      </c>
    </row>
    <row r="71" customFormat="false" ht="15" hidden="false" customHeight="false" outlineLevel="0" collapsed="false">
      <c r="A71" s="0" t="s">
        <v>2441</v>
      </c>
      <c r="B71" s="0" t="s">
        <v>1272</v>
      </c>
      <c r="C71" s="0" t="s">
        <v>1273</v>
      </c>
      <c r="D71" s="0" t="s">
        <v>1274</v>
      </c>
      <c r="E71" s="0" t="s">
        <v>1275</v>
      </c>
      <c r="F71" s="0" t="s">
        <v>2442</v>
      </c>
      <c r="G71" s="0" t="s">
        <v>2443</v>
      </c>
      <c r="H71" s="0" t="s">
        <v>2444</v>
      </c>
      <c r="I71" s="0" t="str">
        <f aca="false">HYPERLINK("https://omim.org/entry/160900", "160900")</f>
        <v>160900</v>
      </c>
      <c r="J71" s="0" t="s">
        <v>50</v>
      </c>
      <c r="K71" s="0" t="s">
        <v>50</v>
      </c>
      <c r="L71" s="0" t="s">
        <v>50</v>
      </c>
      <c r="M71" s="0" t="s">
        <v>50</v>
      </c>
      <c r="N71" s="0" t="s">
        <v>50</v>
      </c>
      <c r="O71" s="0" t="s">
        <v>50</v>
      </c>
      <c r="P71" s="0" t="s">
        <v>50</v>
      </c>
    </row>
    <row r="72" customFormat="false" ht="15" hidden="false" customHeight="false" outlineLevel="0" collapsed="false">
      <c r="A72" s="0" t="s">
        <v>2445</v>
      </c>
      <c r="B72" s="0" t="s">
        <v>1825</v>
      </c>
      <c r="C72" s="0" t="s">
        <v>1826</v>
      </c>
      <c r="D72" s="0" t="s">
        <v>1827</v>
      </c>
      <c r="E72" s="0" t="s">
        <v>1828</v>
      </c>
      <c r="F72" s="0" t="s">
        <v>50</v>
      </c>
      <c r="G72" s="0" t="s">
        <v>2446</v>
      </c>
      <c r="H72" s="0" t="s">
        <v>2447</v>
      </c>
      <c r="I72" s="0" t="str">
        <f aca="false">HYPERLINK("https://omim.org/entry/608644", "608644")</f>
        <v>608644</v>
      </c>
      <c r="J72" s="0" t="str">
        <f aca="false">HYPERLINK("https://omim.org/entry/244400", "244400")</f>
        <v>244400</v>
      </c>
      <c r="K72" s="0" t="s">
        <v>50</v>
      </c>
      <c r="L72" s="0" t="s">
        <v>50</v>
      </c>
      <c r="M72" s="0" t="s">
        <v>50</v>
      </c>
      <c r="N72" s="0" t="s">
        <v>50</v>
      </c>
      <c r="O72" s="0" t="s">
        <v>50</v>
      </c>
      <c r="P72" s="0" t="s">
        <v>50</v>
      </c>
    </row>
    <row r="73" customFormat="false" ht="15" hidden="false" customHeight="false" outlineLevel="0" collapsed="false">
      <c r="A73" s="0" t="s">
        <v>2448</v>
      </c>
      <c r="B73" s="0" t="s">
        <v>1416</v>
      </c>
      <c r="C73" s="0" t="s">
        <v>1417</v>
      </c>
      <c r="D73" s="0" t="s">
        <v>1418</v>
      </c>
      <c r="E73" s="0" t="s">
        <v>50</v>
      </c>
      <c r="F73" s="0" t="s">
        <v>2449</v>
      </c>
      <c r="G73" s="0" t="s">
        <v>2450</v>
      </c>
      <c r="H73" s="0" t="s">
        <v>2451</v>
      </c>
      <c r="I73" s="0" t="s">
        <v>50</v>
      </c>
      <c r="J73" s="0" t="s">
        <v>50</v>
      </c>
      <c r="K73" s="0" t="s">
        <v>50</v>
      </c>
      <c r="L73" s="0" t="s">
        <v>50</v>
      </c>
      <c r="M73" s="0" t="s">
        <v>50</v>
      </c>
      <c r="N73" s="0" t="s">
        <v>50</v>
      </c>
      <c r="O73" s="0" t="s">
        <v>50</v>
      </c>
      <c r="P73" s="0" t="s">
        <v>50</v>
      </c>
    </row>
    <row r="74" customFormat="false" ht="15" hidden="false" customHeight="false" outlineLevel="0" collapsed="false">
      <c r="A74" s="0" t="s">
        <v>2452</v>
      </c>
      <c r="B74" s="0" t="s">
        <v>400</v>
      </c>
      <c r="C74" s="0" t="s">
        <v>401</v>
      </c>
      <c r="D74" s="0" t="s">
        <v>402</v>
      </c>
      <c r="E74" s="0" t="s">
        <v>50</v>
      </c>
      <c r="F74" s="0" t="s">
        <v>2453</v>
      </c>
      <c r="G74" s="0" t="s">
        <v>50</v>
      </c>
      <c r="H74" s="0" t="s">
        <v>50</v>
      </c>
      <c r="I74" s="0" t="s">
        <v>50</v>
      </c>
      <c r="J74" s="0" t="s">
        <v>50</v>
      </c>
      <c r="K74" s="0" t="s">
        <v>50</v>
      </c>
      <c r="L74" s="0" t="s">
        <v>50</v>
      </c>
      <c r="M74" s="0" t="s">
        <v>50</v>
      </c>
      <c r="N74" s="0" t="s">
        <v>50</v>
      </c>
      <c r="O74" s="0" t="s">
        <v>50</v>
      </c>
      <c r="P74" s="0" t="s">
        <v>50</v>
      </c>
    </row>
    <row r="75" customFormat="false" ht="15" hidden="false" customHeight="false" outlineLevel="0" collapsed="false">
      <c r="A75" s="0" t="s">
        <v>2454</v>
      </c>
      <c r="B75" s="0" t="s">
        <v>1603</v>
      </c>
      <c r="C75" s="0" t="s">
        <v>1604</v>
      </c>
      <c r="D75" s="0" t="s">
        <v>1605</v>
      </c>
      <c r="E75" s="0" t="s">
        <v>50</v>
      </c>
      <c r="F75" s="0" t="s">
        <v>2455</v>
      </c>
      <c r="G75" s="0" t="s">
        <v>2456</v>
      </c>
      <c r="H75" s="0" t="s">
        <v>2457</v>
      </c>
      <c r="I75" s="0" t="s">
        <v>50</v>
      </c>
      <c r="J75" s="0" t="s">
        <v>50</v>
      </c>
      <c r="K75" s="0" t="s">
        <v>50</v>
      </c>
      <c r="L75" s="0" t="s">
        <v>50</v>
      </c>
      <c r="M75" s="0" t="s">
        <v>50</v>
      </c>
      <c r="N75" s="0" t="s">
        <v>50</v>
      </c>
      <c r="O75" s="0" t="s">
        <v>50</v>
      </c>
      <c r="P75" s="0" t="s">
        <v>50</v>
      </c>
    </row>
    <row r="76" customFormat="false" ht="15" hidden="false" customHeight="false" outlineLevel="0" collapsed="false">
      <c r="A76" s="0" t="s">
        <v>2458</v>
      </c>
      <c r="B76" s="0" t="s">
        <v>325</v>
      </c>
      <c r="C76" s="0" t="s">
        <v>326</v>
      </c>
      <c r="D76" s="0" t="s">
        <v>327</v>
      </c>
      <c r="E76" s="0" t="s">
        <v>328</v>
      </c>
      <c r="F76" s="0" t="s">
        <v>2459</v>
      </c>
      <c r="G76" s="0" t="s">
        <v>2460</v>
      </c>
      <c r="H76" s="0" t="s">
        <v>2461</v>
      </c>
      <c r="I76" s="0" t="str">
        <f aca="false">HYPERLINK("https://omim.org/entry/254300", "254300")</f>
        <v>254300</v>
      </c>
      <c r="J76" s="0" t="s">
        <v>50</v>
      </c>
      <c r="K76" s="0" t="s">
        <v>50</v>
      </c>
      <c r="L76" s="0" t="s">
        <v>50</v>
      </c>
      <c r="M76" s="0" t="s">
        <v>50</v>
      </c>
      <c r="N76" s="0" t="s">
        <v>50</v>
      </c>
      <c r="O76" s="0" t="s">
        <v>50</v>
      </c>
      <c r="P76" s="0" t="s">
        <v>50</v>
      </c>
    </row>
    <row r="77" customFormat="false" ht="15" hidden="false" customHeight="false" outlineLevel="0" collapsed="false">
      <c r="A77" s="0" t="s">
        <v>2462</v>
      </c>
      <c r="B77" s="0" t="s">
        <v>1781</v>
      </c>
      <c r="C77" s="0" t="s">
        <v>1782</v>
      </c>
      <c r="D77" s="0" t="s">
        <v>1783</v>
      </c>
      <c r="E77" s="0" t="s">
        <v>1784</v>
      </c>
      <c r="F77" s="0" t="s">
        <v>2463</v>
      </c>
      <c r="G77" s="0" t="s">
        <v>2464</v>
      </c>
      <c r="H77" s="0" t="s">
        <v>2465</v>
      </c>
      <c r="I77" s="0" t="str">
        <f aca="false">HYPERLINK("https://omim.org/entry/605594", "605594")</f>
        <v>605594</v>
      </c>
      <c r="J77" s="0" t="str">
        <f aca="false">HYPERLINK("https://omim.org/entry/125490", "125490")</f>
        <v>125490</v>
      </c>
      <c r="K77" s="0" t="str">
        <f aca="false">HYPERLINK("https://omim.org/entry/125500", "125500")</f>
        <v>125500</v>
      </c>
      <c r="L77" s="0" t="str">
        <f aca="false">HYPERLINK("https://omim.org/entry/125420", "125420")</f>
        <v>125420</v>
      </c>
      <c r="M77" s="0" t="s">
        <v>50</v>
      </c>
      <c r="N77" s="0" t="s">
        <v>50</v>
      </c>
      <c r="O77" s="0" t="s">
        <v>50</v>
      </c>
      <c r="P77" s="0" t="s">
        <v>50</v>
      </c>
    </row>
    <row r="78" customFormat="false" ht="15" hidden="false" customHeight="false" outlineLevel="0" collapsed="false">
      <c r="A78" s="0" t="s">
        <v>2466</v>
      </c>
      <c r="B78" s="0" t="s">
        <v>1862</v>
      </c>
      <c r="C78" s="0" t="s">
        <v>1863</v>
      </c>
      <c r="D78" s="0" t="s">
        <v>50</v>
      </c>
      <c r="E78" s="0" t="s">
        <v>50</v>
      </c>
      <c r="F78" s="0" t="s">
        <v>50</v>
      </c>
      <c r="G78" s="0" t="s">
        <v>2467</v>
      </c>
      <c r="H78" s="0" t="s">
        <v>50</v>
      </c>
      <c r="I78" s="0" t="s">
        <v>50</v>
      </c>
      <c r="J78" s="0" t="s">
        <v>50</v>
      </c>
      <c r="K78" s="0" t="s">
        <v>50</v>
      </c>
      <c r="L78" s="0" t="s">
        <v>50</v>
      </c>
      <c r="M78" s="0" t="s">
        <v>50</v>
      </c>
      <c r="N78" s="0" t="s">
        <v>50</v>
      </c>
      <c r="O78" s="0" t="s">
        <v>50</v>
      </c>
      <c r="P78" s="0" t="s">
        <v>50</v>
      </c>
    </row>
    <row r="79" customFormat="false" ht="15" hidden="false" customHeight="false" outlineLevel="0" collapsed="false">
      <c r="A79" s="0" t="s">
        <v>2468</v>
      </c>
      <c r="B79" s="0" t="s">
        <v>1539</v>
      </c>
      <c r="C79" s="0" t="s">
        <v>1540</v>
      </c>
      <c r="D79" s="0" t="s">
        <v>50</v>
      </c>
      <c r="E79" s="0" t="s">
        <v>50</v>
      </c>
      <c r="F79" s="0" t="s">
        <v>2469</v>
      </c>
      <c r="G79" s="0" t="s">
        <v>2470</v>
      </c>
      <c r="H79" s="0" t="s">
        <v>2471</v>
      </c>
      <c r="I79" s="0" t="s">
        <v>50</v>
      </c>
      <c r="J79" s="0" t="s">
        <v>50</v>
      </c>
      <c r="K79" s="0" t="s">
        <v>50</v>
      </c>
      <c r="L79" s="0" t="s">
        <v>50</v>
      </c>
      <c r="M79" s="0" t="s">
        <v>50</v>
      </c>
      <c r="N79" s="0" t="s">
        <v>50</v>
      </c>
      <c r="O79" s="0" t="s">
        <v>50</v>
      </c>
      <c r="P79" s="0" t="s">
        <v>50</v>
      </c>
    </row>
    <row r="80" customFormat="false" ht="15" hidden="false" customHeight="false" outlineLevel="0" collapsed="false">
      <c r="A80" s="0" t="s">
        <v>2472</v>
      </c>
      <c r="B80" s="0" t="s">
        <v>293</v>
      </c>
      <c r="C80" s="0" t="s">
        <v>294</v>
      </c>
      <c r="D80" s="0" t="s">
        <v>295</v>
      </c>
      <c r="E80" s="0" t="s">
        <v>296</v>
      </c>
      <c r="F80" s="0" t="s">
        <v>50</v>
      </c>
      <c r="G80" s="0" t="s">
        <v>2473</v>
      </c>
      <c r="H80" s="0" t="s">
        <v>2474</v>
      </c>
      <c r="I80" s="0" t="str">
        <f aca="false">HYPERLINK("https://omim.org/entry/603896", "603896")</f>
        <v>603896</v>
      </c>
      <c r="J80" s="0" t="s">
        <v>50</v>
      </c>
      <c r="K80" s="0" t="s">
        <v>50</v>
      </c>
      <c r="L80" s="0" t="s">
        <v>50</v>
      </c>
      <c r="M80" s="0" t="s">
        <v>50</v>
      </c>
      <c r="N80" s="0" t="s">
        <v>50</v>
      </c>
      <c r="O80" s="0" t="s">
        <v>50</v>
      </c>
      <c r="P80" s="0" t="s">
        <v>50</v>
      </c>
    </row>
    <row r="81" customFormat="false" ht="15" hidden="false" customHeight="false" outlineLevel="0" collapsed="false">
      <c r="A81" s="0" t="s">
        <v>2475</v>
      </c>
      <c r="B81" s="0" t="s">
        <v>521</v>
      </c>
      <c r="C81" s="0" t="s">
        <v>522</v>
      </c>
      <c r="D81" s="0" t="s">
        <v>523</v>
      </c>
      <c r="E81" s="0" t="s">
        <v>50</v>
      </c>
      <c r="F81" s="0" t="s">
        <v>2476</v>
      </c>
      <c r="G81" s="0" t="s">
        <v>2477</v>
      </c>
      <c r="H81" s="0" t="s">
        <v>50</v>
      </c>
      <c r="I81" s="0" t="s">
        <v>50</v>
      </c>
      <c r="J81" s="0" t="s">
        <v>50</v>
      </c>
      <c r="K81" s="0" t="s">
        <v>50</v>
      </c>
      <c r="L81" s="0" t="s">
        <v>50</v>
      </c>
      <c r="M81" s="0" t="s">
        <v>50</v>
      </c>
      <c r="N81" s="0" t="s">
        <v>50</v>
      </c>
      <c r="O81" s="0" t="s">
        <v>50</v>
      </c>
      <c r="P81" s="0" t="s">
        <v>50</v>
      </c>
    </row>
    <row r="82" customFormat="false" ht="15" hidden="false" customHeight="false" outlineLevel="0" collapsed="false">
      <c r="A82" s="0" t="s">
        <v>2478</v>
      </c>
      <c r="B82" s="0" t="s">
        <v>1945</v>
      </c>
      <c r="C82" s="0" t="s">
        <v>1946</v>
      </c>
      <c r="D82" s="0" t="s">
        <v>1947</v>
      </c>
      <c r="E82" s="0" t="s">
        <v>1948</v>
      </c>
      <c r="F82" s="0" t="s">
        <v>2479</v>
      </c>
      <c r="G82" s="0" t="s">
        <v>2480</v>
      </c>
      <c r="H82" s="0" t="s">
        <v>2481</v>
      </c>
      <c r="I82" s="0" t="str">
        <f aca="false">HYPERLINK("https://omim.org/entry/602475", "602475")</f>
        <v>602475</v>
      </c>
      <c r="J82" s="0" t="str">
        <f aca="false">HYPERLINK("https://omim.org/entry/208000", "208000")</f>
        <v>208000</v>
      </c>
      <c r="K82" s="0" t="str">
        <f aca="false">HYPERLINK("https://omim.org/entry/125853", "125853")</f>
        <v>125853</v>
      </c>
      <c r="L82" s="0" t="str">
        <f aca="false">HYPERLINK("https://omim.org/entry/613312", "613312")</f>
        <v>613312</v>
      </c>
      <c r="M82" s="0" t="str">
        <f aca="false">HYPERLINK("https://omim.org/entry/615522", "615522")</f>
        <v>615522</v>
      </c>
      <c r="N82" s="0" t="s">
        <v>50</v>
      </c>
      <c r="O82" s="0" t="s">
        <v>50</v>
      </c>
      <c r="P82" s="0" t="s">
        <v>50</v>
      </c>
    </row>
    <row r="83" customFormat="false" ht="15" hidden="false" customHeight="false" outlineLevel="0" collapsed="false">
      <c r="A83" s="0" t="s">
        <v>2482</v>
      </c>
      <c r="B83" s="0" t="s">
        <v>303</v>
      </c>
      <c r="C83" s="0" t="s">
        <v>304</v>
      </c>
      <c r="D83" s="0" t="s">
        <v>305</v>
      </c>
      <c r="E83" s="0" t="s">
        <v>306</v>
      </c>
      <c r="F83" s="0" t="s">
        <v>50</v>
      </c>
      <c r="G83" s="0" t="s">
        <v>2483</v>
      </c>
      <c r="H83" s="0" t="s">
        <v>2484</v>
      </c>
      <c r="I83" s="0" t="str">
        <f aca="false">HYPERLINK("https://omim.org/entry/613684", "613684")</f>
        <v>613684</v>
      </c>
      <c r="J83" s="0" t="s">
        <v>50</v>
      </c>
      <c r="K83" s="0" t="s">
        <v>50</v>
      </c>
      <c r="L83" s="0" t="s">
        <v>50</v>
      </c>
      <c r="M83" s="0" t="s">
        <v>50</v>
      </c>
      <c r="N83" s="0" t="s">
        <v>50</v>
      </c>
      <c r="O83" s="0" t="s">
        <v>50</v>
      </c>
      <c r="P83" s="0" t="s">
        <v>50</v>
      </c>
    </row>
    <row r="84" customFormat="false" ht="15" hidden="false" customHeight="false" outlineLevel="0" collapsed="false">
      <c r="A84" s="0" t="s">
        <v>2485</v>
      </c>
      <c r="B84" s="0" t="s">
        <v>1697</v>
      </c>
      <c r="C84" s="0" t="s">
        <v>1698</v>
      </c>
      <c r="D84" s="0" t="s">
        <v>1699</v>
      </c>
      <c r="E84" s="0" t="s">
        <v>50</v>
      </c>
      <c r="F84" s="0" t="s">
        <v>2486</v>
      </c>
      <c r="G84" s="0" t="s">
        <v>50</v>
      </c>
      <c r="H84" s="0" t="s">
        <v>50</v>
      </c>
      <c r="I84" s="0" t="s">
        <v>50</v>
      </c>
      <c r="J84" s="0" t="s">
        <v>50</v>
      </c>
      <c r="K84" s="0" t="s">
        <v>50</v>
      </c>
      <c r="L84" s="0" t="s">
        <v>50</v>
      </c>
      <c r="M84" s="0" t="s">
        <v>50</v>
      </c>
      <c r="N84" s="0" t="s">
        <v>50</v>
      </c>
      <c r="O84" s="0" t="s">
        <v>50</v>
      </c>
      <c r="P84" s="0" t="s">
        <v>50</v>
      </c>
    </row>
    <row r="85" customFormat="false" ht="15" hidden="false" customHeight="false" outlineLevel="0" collapsed="false">
      <c r="A85" s="0" t="s">
        <v>2487</v>
      </c>
      <c r="B85" s="0" t="s">
        <v>1134</v>
      </c>
      <c r="C85" s="0" t="s">
        <v>1135</v>
      </c>
      <c r="D85" s="0" t="s">
        <v>1136</v>
      </c>
      <c r="E85" s="0" t="s">
        <v>1137</v>
      </c>
      <c r="F85" s="0" t="s">
        <v>2488</v>
      </c>
      <c r="G85" s="0" t="s">
        <v>2489</v>
      </c>
      <c r="H85" s="0" t="s">
        <v>2490</v>
      </c>
      <c r="I85" s="0" t="str">
        <f aca="false">HYPERLINK("https://omim.org/entry/137215", "137215")</f>
        <v>137215</v>
      </c>
      <c r="J85" s="0" t="str">
        <f aca="false">HYPERLINK("https://omim.org/entry/137800", "137800")</f>
        <v>137800</v>
      </c>
      <c r="K85" s="0" t="str">
        <f aca="false">HYPERLINK("https://omim.org/entry/167000", "167000")</f>
        <v>167000</v>
      </c>
      <c r="L85" s="0" t="str">
        <f aca="false">HYPERLINK("https://omim.org/entry/211980", "211980")</f>
        <v>211980</v>
      </c>
      <c r="M85" s="0" t="str">
        <f aca="false">HYPERLINK("https://omim.org/entry/613659", "613659")</f>
        <v>613659</v>
      </c>
      <c r="N85" s="0" t="s">
        <v>50</v>
      </c>
      <c r="O85" s="0" t="s">
        <v>50</v>
      </c>
      <c r="P85" s="0" t="s">
        <v>50</v>
      </c>
    </row>
    <row r="86" customFormat="false" ht="15" hidden="false" customHeight="false" outlineLevel="0" collapsed="false">
      <c r="A86" s="0" t="s">
        <v>2491</v>
      </c>
      <c r="B86" s="0" t="s">
        <v>2158</v>
      </c>
      <c r="C86" s="0" t="s">
        <v>2159</v>
      </c>
      <c r="D86" s="0" t="s">
        <v>50</v>
      </c>
      <c r="E86" s="0" t="s">
        <v>50</v>
      </c>
      <c r="F86" s="0" t="s">
        <v>50</v>
      </c>
      <c r="G86" s="0" t="s">
        <v>2492</v>
      </c>
      <c r="H86" s="0" t="s">
        <v>2493</v>
      </c>
      <c r="I86" s="0" t="s">
        <v>50</v>
      </c>
      <c r="J86" s="0" t="s">
        <v>50</v>
      </c>
      <c r="K86" s="0" t="s">
        <v>50</v>
      </c>
      <c r="L86" s="0" t="s">
        <v>50</v>
      </c>
      <c r="M86" s="0" t="s">
        <v>50</v>
      </c>
      <c r="N86" s="0" t="s">
        <v>50</v>
      </c>
      <c r="O86" s="0" t="s">
        <v>50</v>
      </c>
      <c r="P86" s="0" t="s">
        <v>50</v>
      </c>
    </row>
    <row r="87" customFormat="false" ht="15" hidden="false" customHeight="false" outlineLevel="0" collapsed="false">
      <c r="A87" s="0" t="s">
        <v>2494</v>
      </c>
      <c r="B87" s="0" t="s">
        <v>2196</v>
      </c>
      <c r="C87" s="0" t="s">
        <v>2197</v>
      </c>
      <c r="D87" s="0" t="s">
        <v>50</v>
      </c>
      <c r="E87" s="0" t="s">
        <v>50</v>
      </c>
      <c r="F87" s="0" t="s">
        <v>50</v>
      </c>
      <c r="G87" s="0" t="s">
        <v>50</v>
      </c>
      <c r="H87" s="0" t="s">
        <v>50</v>
      </c>
      <c r="I87" s="0" t="s">
        <v>50</v>
      </c>
      <c r="J87" s="0" t="s">
        <v>50</v>
      </c>
      <c r="K87" s="0" t="s">
        <v>50</v>
      </c>
      <c r="L87" s="0" t="s">
        <v>50</v>
      </c>
      <c r="M87" s="0" t="s">
        <v>50</v>
      </c>
      <c r="N87" s="0" t="s">
        <v>50</v>
      </c>
      <c r="O87" s="0" t="s">
        <v>50</v>
      </c>
      <c r="P87" s="0" t="s">
        <v>50</v>
      </c>
    </row>
    <row r="88" customFormat="false" ht="15" hidden="false" customHeight="false" outlineLevel="0" collapsed="false">
      <c r="A88" s="0" t="s">
        <v>2495</v>
      </c>
      <c r="B88" s="0" t="s">
        <v>976</v>
      </c>
      <c r="C88" s="0" t="s">
        <v>977</v>
      </c>
      <c r="D88" s="0" t="s">
        <v>50</v>
      </c>
      <c r="E88" s="0" t="s">
        <v>50</v>
      </c>
      <c r="F88" s="0" t="s">
        <v>50</v>
      </c>
      <c r="G88" s="0" t="s">
        <v>2496</v>
      </c>
      <c r="H88" s="0" t="s">
        <v>2497</v>
      </c>
      <c r="I88" s="0" t="s">
        <v>50</v>
      </c>
      <c r="J88" s="0" t="s">
        <v>50</v>
      </c>
      <c r="K88" s="0" t="s">
        <v>50</v>
      </c>
      <c r="L88" s="0" t="s">
        <v>50</v>
      </c>
      <c r="M88" s="0" t="s">
        <v>50</v>
      </c>
      <c r="N88" s="0" t="s">
        <v>50</v>
      </c>
      <c r="O88" s="0" t="s">
        <v>50</v>
      </c>
      <c r="P88" s="0" t="s">
        <v>50</v>
      </c>
    </row>
    <row r="89" customFormat="false" ht="15" hidden="false" customHeight="false" outlineLevel="0" collapsed="false">
      <c r="A89" s="0" t="s">
        <v>2498</v>
      </c>
      <c r="B89" s="0" t="s">
        <v>895</v>
      </c>
      <c r="C89" s="0" t="s">
        <v>896</v>
      </c>
      <c r="D89" s="0" t="s">
        <v>50</v>
      </c>
      <c r="E89" s="0" t="s">
        <v>50</v>
      </c>
      <c r="F89" s="0" t="s">
        <v>50</v>
      </c>
      <c r="G89" s="0" t="s">
        <v>2499</v>
      </c>
      <c r="H89" s="0" t="s">
        <v>50</v>
      </c>
      <c r="I89" s="0" t="s">
        <v>50</v>
      </c>
      <c r="J89" s="0" t="s">
        <v>50</v>
      </c>
      <c r="K89" s="0" t="s">
        <v>50</v>
      </c>
      <c r="L89" s="0" t="s">
        <v>50</v>
      </c>
      <c r="M89" s="0" t="s">
        <v>50</v>
      </c>
      <c r="N89" s="0" t="s">
        <v>50</v>
      </c>
      <c r="O89" s="0" t="s">
        <v>50</v>
      </c>
      <c r="P89" s="0" t="s">
        <v>50</v>
      </c>
    </row>
    <row r="90" customFormat="false" ht="15" hidden="false" customHeight="false" outlineLevel="0" collapsed="false">
      <c r="A90" s="0" t="s">
        <v>2500</v>
      </c>
      <c r="B90" s="0" t="s">
        <v>1878</v>
      </c>
      <c r="C90" s="0" t="s">
        <v>1879</v>
      </c>
      <c r="D90" s="0" t="s">
        <v>50</v>
      </c>
      <c r="E90" s="0" t="s">
        <v>50</v>
      </c>
      <c r="F90" s="0" t="s">
        <v>2501</v>
      </c>
      <c r="G90" s="0" t="s">
        <v>2502</v>
      </c>
      <c r="H90" s="0" t="s">
        <v>50</v>
      </c>
      <c r="I90" s="0" t="s">
        <v>50</v>
      </c>
      <c r="J90" s="0" t="s">
        <v>50</v>
      </c>
      <c r="K90" s="0" t="s">
        <v>50</v>
      </c>
      <c r="L90" s="0" t="s">
        <v>50</v>
      </c>
      <c r="M90" s="0" t="s">
        <v>50</v>
      </c>
      <c r="N90" s="0" t="s">
        <v>50</v>
      </c>
      <c r="O90" s="0" t="s">
        <v>50</v>
      </c>
      <c r="P90" s="0" t="s">
        <v>50</v>
      </c>
    </row>
    <row r="91" customFormat="false" ht="15" hidden="false" customHeight="false" outlineLevel="0" collapsed="false">
      <c r="A91" s="0" t="s">
        <v>2503</v>
      </c>
      <c r="B91" s="0" t="s">
        <v>1897</v>
      </c>
      <c r="C91" s="0" t="s">
        <v>1898</v>
      </c>
      <c r="D91" s="0" t="s">
        <v>1899</v>
      </c>
      <c r="E91" s="0" t="s">
        <v>1900</v>
      </c>
      <c r="F91" s="0" t="s">
        <v>2504</v>
      </c>
      <c r="G91" s="0" t="s">
        <v>2505</v>
      </c>
      <c r="H91" s="0" t="s">
        <v>2506</v>
      </c>
      <c r="I91" s="0" t="s">
        <v>50</v>
      </c>
      <c r="J91" s="0" t="s">
        <v>50</v>
      </c>
      <c r="K91" s="0" t="s">
        <v>50</v>
      </c>
      <c r="L91" s="0" t="s">
        <v>50</v>
      </c>
      <c r="M91" s="0" t="s">
        <v>50</v>
      </c>
      <c r="N91" s="0" t="s">
        <v>50</v>
      </c>
      <c r="O91" s="0" t="s">
        <v>50</v>
      </c>
      <c r="P91" s="0" t="s">
        <v>50</v>
      </c>
    </row>
    <row r="92" customFormat="false" ht="15" hidden="false" customHeight="false" outlineLevel="0" collapsed="false">
      <c r="A92" s="0" t="s">
        <v>2507</v>
      </c>
      <c r="B92" s="0" t="s">
        <v>50</v>
      </c>
      <c r="C92" s="0" t="s">
        <v>718</v>
      </c>
      <c r="D92" s="0" t="s">
        <v>719</v>
      </c>
      <c r="E92" s="0" t="s">
        <v>50</v>
      </c>
      <c r="F92" s="0" t="s">
        <v>2508</v>
      </c>
      <c r="G92" s="0" t="s">
        <v>2509</v>
      </c>
      <c r="H92" s="0" t="s">
        <v>50</v>
      </c>
      <c r="I92" s="0" t="s">
        <v>50</v>
      </c>
      <c r="J92" s="0" t="s">
        <v>50</v>
      </c>
      <c r="K92" s="0" t="s">
        <v>50</v>
      </c>
      <c r="L92" s="0" t="s">
        <v>50</v>
      </c>
      <c r="M92" s="0" t="s">
        <v>50</v>
      </c>
      <c r="N92" s="0" t="s">
        <v>50</v>
      </c>
      <c r="O92" s="0" t="s">
        <v>50</v>
      </c>
      <c r="P92" s="0" t="s">
        <v>50</v>
      </c>
    </row>
    <row r="93" customFormat="false" ht="15" hidden="false" customHeight="false" outlineLevel="0" collapsed="false">
      <c r="A93" s="0" t="s">
        <v>2510</v>
      </c>
      <c r="B93" s="0" t="s">
        <v>698</v>
      </c>
      <c r="C93" s="0" t="s">
        <v>699</v>
      </c>
      <c r="D93" s="0" t="s">
        <v>700</v>
      </c>
      <c r="E93" s="0" t="s">
        <v>701</v>
      </c>
      <c r="F93" s="0" t="s">
        <v>2511</v>
      </c>
      <c r="G93" s="0" t="s">
        <v>50</v>
      </c>
      <c r="H93" s="0" t="s">
        <v>50</v>
      </c>
      <c r="I93" s="0" t="str">
        <f aca="false">HYPERLINK("https://omim.org/entry/615707", "615707")</f>
        <v>615707</v>
      </c>
      <c r="J93" s="0" t="s">
        <v>50</v>
      </c>
      <c r="K93" s="0" t="s">
        <v>50</v>
      </c>
      <c r="L93" s="0" t="s">
        <v>50</v>
      </c>
      <c r="M93" s="0" t="s">
        <v>50</v>
      </c>
      <c r="N93" s="0" t="s">
        <v>50</v>
      </c>
      <c r="O93" s="0" t="s">
        <v>50</v>
      </c>
      <c r="P93" s="0" t="s">
        <v>50</v>
      </c>
    </row>
    <row r="94" customFormat="false" ht="15" hidden="false" customHeight="false" outlineLevel="0" collapsed="false">
      <c r="A94" s="0" t="s">
        <v>2512</v>
      </c>
      <c r="B94" s="0" t="s">
        <v>693</v>
      </c>
      <c r="C94" s="0" t="s">
        <v>694</v>
      </c>
      <c r="D94" s="0" t="s">
        <v>695</v>
      </c>
      <c r="E94" s="0" t="s">
        <v>696</v>
      </c>
      <c r="F94" s="0" t="s">
        <v>2513</v>
      </c>
      <c r="G94" s="0" t="s">
        <v>2514</v>
      </c>
      <c r="H94" s="0" t="s">
        <v>2515</v>
      </c>
      <c r="I94" s="0" t="s">
        <v>50</v>
      </c>
      <c r="J94" s="0" t="s">
        <v>50</v>
      </c>
      <c r="K94" s="0" t="s">
        <v>50</v>
      </c>
      <c r="L94" s="0" t="s">
        <v>50</v>
      </c>
      <c r="M94" s="0" t="s">
        <v>50</v>
      </c>
      <c r="N94" s="0" t="s">
        <v>50</v>
      </c>
      <c r="O94" s="0" t="s">
        <v>50</v>
      </c>
      <c r="P94" s="0" t="s">
        <v>50</v>
      </c>
    </row>
    <row r="95" customFormat="false" ht="15" hidden="false" customHeight="false" outlineLevel="0" collapsed="false">
      <c r="A95" s="0" t="s">
        <v>2516</v>
      </c>
      <c r="B95" s="0" t="s">
        <v>1691</v>
      </c>
      <c r="C95" s="0" t="s">
        <v>1692</v>
      </c>
      <c r="D95" s="0" t="s">
        <v>1693</v>
      </c>
      <c r="E95" s="0" t="s">
        <v>1694</v>
      </c>
      <c r="F95" s="0" t="s">
        <v>2517</v>
      </c>
      <c r="G95" s="0" t="s">
        <v>2518</v>
      </c>
      <c r="H95" s="0" t="s">
        <v>2519</v>
      </c>
      <c r="I95" s="0" t="s">
        <v>50</v>
      </c>
      <c r="J95" s="0" t="s">
        <v>50</v>
      </c>
      <c r="K95" s="0" t="s">
        <v>50</v>
      </c>
      <c r="L95" s="0" t="s">
        <v>50</v>
      </c>
      <c r="M95" s="0" t="s">
        <v>50</v>
      </c>
      <c r="N95" s="0" t="s">
        <v>50</v>
      </c>
      <c r="O95" s="0" t="s">
        <v>50</v>
      </c>
      <c r="P95" s="0" t="s">
        <v>50</v>
      </c>
    </row>
    <row r="96" customFormat="false" ht="15" hidden="false" customHeight="false" outlineLevel="0" collapsed="false">
      <c r="A96" s="0" t="s">
        <v>2520</v>
      </c>
      <c r="B96" s="0" t="s">
        <v>186</v>
      </c>
      <c r="C96" s="0" t="s">
        <v>187</v>
      </c>
      <c r="D96" s="0" t="s">
        <v>188</v>
      </c>
      <c r="E96" s="0" t="s">
        <v>50</v>
      </c>
      <c r="F96" s="0" t="s">
        <v>2521</v>
      </c>
      <c r="G96" s="0" t="s">
        <v>2522</v>
      </c>
      <c r="H96" s="0" t="s">
        <v>2523</v>
      </c>
      <c r="I96" s="0" t="s">
        <v>50</v>
      </c>
      <c r="J96" s="0" t="s">
        <v>50</v>
      </c>
      <c r="K96" s="0" t="s">
        <v>50</v>
      </c>
      <c r="L96" s="0" t="s">
        <v>50</v>
      </c>
      <c r="M96" s="0" t="s">
        <v>50</v>
      </c>
      <c r="N96" s="0" t="s">
        <v>50</v>
      </c>
      <c r="O96" s="0" t="s">
        <v>50</v>
      </c>
      <c r="P96" s="0" t="s">
        <v>50</v>
      </c>
    </row>
    <row r="97" customFormat="false" ht="15" hidden="false" customHeight="false" outlineLevel="0" collapsed="false">
      <c r="A97" s="0" t="s">
        <v>2524</v>
      </c>
      <c r="B97" s="0" t="s">
        <v>2525</v>
      </c>
      <c r="C97" s="0" t="s">
        <v>2526</v>
      </c>
      <c r="D97" s="0" t="s">
        <v>2527</v>
      </c>
      <c r="E97" s="0" t="s">
        <v>2528</v>
      </c>
      <c r="F97" s="0" t="s">
        <v>2529</v>
      </c>
      <c r="G97" s="0" t="s">
        <v>2530</v>
      </c>
      <c r="H97" s="0" t="s">
        <v>2531</v>
      </c>
      <c r="I97" s="0" t="str">
        <f aca="false">HYPERLINK("https://omim.org/entry/616117", "616117")</f>
        <v>616117</v>
      </c>
      <c r="J97" s="0" t="s">
        <v>50</v>
      </c>
      <c r="K97" s="0" t="s">
        <v>50</v>
      </c>
      <c r="L97" s="0" t="s">
        <v>50</v>
      </c>
      <c r="M97" s="0" t="s">
        <v>50</v>
      </c>
      <c r="N97" s="0" t="s">
        <v>50</v>
      </c>
      <c r="O97" s="0" t="s">
        <v>50</v>
      </c>
      <c r="P97" s="0" t="s">
        <v>50</v>
      </c>
    </row>
    <row r="98" customFormat="false" ht="15" hidden="false" customHeight="false" outlineLevel="0" collapsed="false">
      <c r="A98" s="0" t="s">
        <v>2532</v>
      </c>
      <c r="B98" s="0" t="s">
        <v>1966</v>
      </c>
      <c r="C98" s="0" t="s">
        <v>1967</v>
      </c>
      <c r="D98" s="0" t="s">
        <v>50</v>
      </c>
      <c r="E98" s="0" t="s">
        <v>50</v>
      </c>
      <c r="F98" s="0" t="s">
        <v>50</v>
      </c>
      <c r="G98" s="0" t="s">
        <v>2533</v>
      </c>
      <c r="H98" s="0" t="s">
        <v>2534</v>
      </c>
      <c r="I98" s="0" t="s">
        <v>50</v>
      </c>
      <c r="J98" s="0" t="s">
        <v>50</v>
      </c>
      <c r="K98" s="0" t="s">
        <v>50</v>
      </c>
      <c r="L98" s="0" t="s">
        <v>50</v>
      </c>
      <c r="M98" s="0" t="s">
        <v>50</v>
      </c>
      <c r="N98" s="0" t="s">
        <v>50</v>
      </c>
      <c r="O98" s="0" t="s">
        <v>50</v>
      </c>
      <c r="P98" s="0" t="s">
        <v>50</v>
      </c>
    </row>
    <row r="99" customFormat="false" ht="15" hidden="false" customHeight="false" outlineLevel="0" collapsed="false">
      <c r="A99" s="0" t="s">
        <v>2535</v>
      </c>
      <c r="B99" s="0" t="s">
        <v>645</v>
      </c>
      <c r="C99" s="0" t="s">
        <v>2536</v>
      </c>
      <c r="D99" s="0" t="s">
        <v>647</v>
      </c>
      <c r="E99" s="0" t="s">
        <v>50</v>
      </c>
      <c r="F99" s="0" t="s">
        <v>50</v>
      </c>
      <c r="G99" s="0" t="s">
        <v>2537</v>
      </c>
      <c r="H99" s="0" t="s">
        <v>50</v>
      </c>
      <c r="I99" s="0" t="s">
        <v>50</v>
      </c>
      <c r="J99" s="0" t="s">
        <v>50</v>
      </c>
      <c r="K99" s="0" t="s">
        <v>50</v>
      </c>
      <c r="L99" s="0" t="s">
        <v>50</v>
      </c>
      <c r="M99" s="0" t="s">
        <v>50</v>
      </c>
      <c r="N99" s="0" t="s">
        <v>50</v>
      </c>
      <c r="O99" s="0" t="s">
        <v>50</v>
      </c>
      <c r="P99" s="0" t="s">
        <v>50</v>
      </c>
    </row>
    <row r="100" customFormat="false" ht="15" hidden="false" customHeight="false" outlineLevel="0" collapsed="false">
      <c r="A100" s="0" t="s">
        <v>2538</v>
      </c>
      <c r="B100" s="0" t="s">
        <v>1076</v>
      </c>
      <c r="C100" s="0" t="s">
        <v>1077</v>
      </c>
      <c r="D100" s="0" t="s">
        <v>1078</v>
      </c>
      <c r="E100" s="0" t="s">
        <v>1079</v>
      </c>
      <c r="F100" s="0" t="s">
        <v>2539</v>
      </c>
      <c r="G100" s="0" t="s">
        <v>2540</v>
      </c>
      <c r="H100" s="0" t="s">
        <v>2541</v>
      </c>
      <c r="I100" s="0" t="str">
        <f aca="false">HYPERLINK("https://omim.org/entry/612160", "612160")</f>
        <v>612160</v>
      </c>
      <c r="J100" s="0" t="str">
        <f aca="false">HYPERLINK("https://omim.org/entry/608030", "608030")</f>
        <v>608030</v>
      </c>
      <c r="K100" s="0" t="str">
        <f aca="false">HYPERLINK("https://omim.org/entry/614782", "614782")</f>
        <v>614782</v>
      </c>
      <c r="L100" s="0" t="s">
        <v>50</v>
      </c>
      <c r="M100" s="0" t="s">
        <v>50</v>
      </c>
      <c r="N100" s="0" t="s">
        <v>50</v>
      </c>
      <c r="O100" s="0" t="s">
        <v>50</v>
      </c>
      <c r="P100" s="0" t="s">
        <v>50</v>
      </c>
    </row>
    <row r="101" customFormat="false" ht="15" hidden="false" customHeight="false" outlineLevel="0" collapsed="false">
      <c r="A101" s="0" t="s">
        <v>2542</v>
      </c>
      <c r="B101" s="0" t="s">
        <v>970</v>
      </c>
      <c r="C101" s="0" t="s">
        <v>971</v>
      </c>
      <c r="D101" s="0" t="s">
        <v>972</v>
      </c>
      <c r="E101" s="0" t="s">
        <v>50</v>
      </c>
      <c r="F101" s="0" t="s">
        <v>2543</v>
      </c>
      <c r="G101" s="0" t="s">
        <v>2544</v>
      </c>
      <c r="H101" s="0" t="s">
        <v>2545</v>
      </c>
      <c r="I101" s="0" t="s">
        <v>50</v>
      </c>
      <c r="J101" s="0" t="s">
        <v>50</v>
      </c>
      <c r="K101" s="0" t="s">
        <v>50</v>
      </c>
      <c r="L101" s="0" t="s">
        <v>50</v>
      </c>
      <c r="M101" s="0" t="s">
        <v>50</v>
      </c>
      <c r="N101" s="0" t="s">
        <v>50</v>
      </c>
      <c r="O101" s="0" t="s">
        <v>50</v>
      </c>
      <c r="P101" s="0" t="s">
        <v>50</v>
      </c>
    </row>
    <row r="102" customFormat="false" ht="15" hidden="false" customHeight="false" outlineLevel="0" collapsed="false">
      <c r="A102" s="0" t="s">
        <v>2546</v>
      </c>
      <c r="B102" s="0" t="s">
        <v>1753</v>
      </c>
      <c r="C102" s="0" t="s">
        <v>1754</v>
      </c>
      <c r="D102" s="0" t="s">
        <v>1755</v>
      </c>
      <c r="E102" s="0" t="s">
        <v>50</v>
      </c>
      <c r="F102" s="0" t="s">
        <v>2547</v>
      </c>
      <c r="G102" s="0" t="s">
        <v>2548</v>
      </c>
      <c r="H102" s="0" t="s">
        <v>2549</v>
      </c>
      <c r="I102" s="0" t="s">
        <v>50</v>
      </c>
      <c r="J102" s="0" t="s">
        <v>50</v>
      </c>
      <c r="K102" s="0" t="s">
        <v>50</v>
      </c>
      <c r="L102" s="0" t="s">
        <v>50</v>
      </c>
      <c r="M102" s="0" t="s">
        <v>50</v>
      </c>
      <c r="N102" s="0" t="s">
        <v>50</v>
      </c>
      <c r="O102" s="0" t="s">
        <v>50</v>
      </c>
      <c r="P102" s="0" t="s">
        <v>50</v>
      </c>
    </row>
    <row r="103" customFormat="false" ht="15" hidden="false" customHeight="false" outlineLevel="0" collapsed="false">
      <c r="A103" s="0" t="s">
        <v>2550</v>
      </c>
      <c r="B103" s="0" t="s">
        <v>385</v>
      </c>
      <c r="C103" s="0" t="s">
        <v>386</v>
      </c>
      <c r="D103" s="0" t="s">
        <v>387</v>
      </c>
      <c r="E103" s="0" t="s">
        <v>50</v>
      </c>
      <c r="F103" s="0" t="s">
        <v>50</v>
      </c>
      <c r="G103" s="0" t="s">
        <v>2551</v>
      </c>
      <c r="H103" s="0" t="s">
        <v>50</v>
      </c>
      <c r="I103" s="0" t="s">
        <v>50</v>
      </c>
      <c r="J103" s="0" t="s">
        <v>50</v>
      </c>
      <c r="K103" s="0" t="s">
        <v>50</v>
      </c>
      <c r="L103" s="0" t="s">
        <v>50</v>
      </c>
      <c r="M103" s="0" t="s">
        <v>50</v>
      </c>
      <c r="N103" s="0" t="s">
        <v>50</v>
      </c>
      <c r="O103" s="0" t="s">
        <v>50</v>
      </c>
      <c r="P103" s="0" t="s">
        <v>50</v>
      </c>
    </row>
    <row r="104" customFormat="false" ht="15" hidden="false" customHeight="false" outlineLevel="0" collapsed="false">
      <c r="A104" s="0" t="s">
        <v>2552</v>
      </c>
      <c r="B104" s="0" t="s">
        <v>1629</v>
      </c>
      <c r="C104" s="0" t="s">
        <v>1630</v>
      </c>
      <c r="D104" s="0" t="s">
        <v>1631</v>
      </c>
      <c r="E104" s="0" t="s">
        <v>1632</v>
      </c>
      <c r="F104" s="0" t="s">
        <v>2553</v>
      </c>
      <c r="G104" s="0" t="s">
        <v>2554</v>
      </c>
      <c r="H104" s="0" t="s">
        <v>50</v>
      </c>
      <c r="I104" s="0" t="str">
        <f aca="false">HYPERLINK("https://omim.org/entry/231950", "231950")</f>
        <v>231950</v>
      </c>
      <c r="J104" s="0" t="s">
        <v>50</v>
      </c>
      <c r="K104" s="0" t="s">
        <v>50</v>
      </c>
      <c r="L104" s="0" t="s">
        <v>50</v>
      </c>
      <c r="M104" s="0" t="s">
        <v>50</v>
      </c>
      <c r="N104" s="0" t="s">
        <v>50</v>
      </c>
      <c r="O104" s="0" t="s">
        <v>50</v>
      </c>
      <c r="P104" s="0" t="s">
        <v>50</v>
      </c>
    </row>
    <row r="105" customFormat="false" ht="15" hidden="false" customHeight="false" outlineLevel="0" collapsed="false">
      <c r="A105" s="0" t="s">
        <v>2555</v>
      </c>
      <c r="B105" s="0" t="s">
        <v>514</v>
      </c>
      <c r="C105" s="0" t="s">
        <v>515</v>
      </c>
      <c r="D105" s="0" t="s">
        <v>50</v>
      </c>
      <c r="E105" s="0" t="s">
        <v>50</v>
      </c>
      <c r="F105" s="0" t="s">
        <v>2556</v>
      </c>
      <c r="G105" s="0" t="s">
        <v>50</v>
      </c>
      <c r="H105" s="0" t="s">
        <v>50</v>
      </c>
      <c r="I105" s="0" t="s">
        <v>50</v>
      </c>
      <c r="J105" s="0" t="s">
        <v>50</v>
      </c>
      <c r="K105" s="0" t="s">
        <v>50</v>
      </c>
      <c r="L105" s="0" t="s">
        <v>50</v>
      </c>
      <c r="M105" s="0" t="s">
        <v>50</v>
      </c>
      <c r="N105" s="0" t="s">
        <v>50</v>
      </c>
      <c r="O105" s="0" t="s">
        <v>50</v>
      </c>
      <c r="P105" s="0" t="s">
        <v>50</v>
      </c>
    </row>
    <row r="106" customFormat="false" ht="15" hidden="false" customHeight="false" outlineLevel="0" collapsed="false">
      <c r="A106" s="0" t="s">
        <v>2557</v>
      </c>
      <c r="B106" s="0" t="s">
        <v>2105</v>
      </c>
      <c r="C106" s="0" t="s">
        <v>2106</v>
      </c>
      <c r="D106" s="0" t="s">
        <v>2107</v>
      </c>
      <c r="E106" s="0" t="s">
        <v>2108</v>
      </c>
      <c r="F106" s="0" t="s">
        <v>50</v>
      </c>
      <c r="G106" s="0" t="s">
        <v>50</v>
      </c>
      <c r="H106" s="0" t="s">
        <v>50</v>
      </c>
      <c r="I106" s="0" t="str">
        <f aca="false">HYPERLINK("https://omim.org/entry/605899", "605899")</f>
        <v>605899</v>
      </c>
      <c r="J106" s="0" t="s">
        <v>50</v>
      </c>
      <c r="K106" s="0" t="s">
        <v>50</v>
      </c>
      <c r="L106" s="0" t="s">
        <v>50</v>
      </c>
      <c r="M106" s="0" t="s">
        <v>50</v>
      </c>
      <c r="N106" s="0" t="s">
        <v>50</v>
      </c>
      <c r="O106" s="0" t="s">
        <v>50</v>
      </c>
      <c r="P106" s="0" t="s">
        <v>50</v>
      </c>
    </row>
    <row r="107" customFormat="false" ht="15" hidden="false" customHeight="false" outlineLevel="0" collapsed="false">
      <c r="A107" s="0" t="s">
        <v>2558</v>
      </c>
      <c r="B107" s="0" t="s">
        <v>1243</v>
      </c>
      <c r="C107" s="0" t="s">
        <v>1244</v>
      </c>
      <c r="D107" s="0" t="s">
        <v>1245</v>
      </c>
      <c r="E107" s="0" t="s">
        <v>1246</v>
      </c>
      <c r="F107" s="0" t="s">
        <v>2559</v>
      </c>
      <c r="G107" s="0" t="s">
        <v>2560</v>
      </c>
      <c r="H107" s="0" t="s">
        <v>2561</v>
      </c>
      <c r="I107" s="0" t="str">
        <f aca="false">HYPERLINK("https://omim.org/entry/145981", "145981")</f>
        <v>145981</v>
      </c>
      <c r="J107" s="0" t="str">
        <f aca="false">HYPERLINK("https://omim.org/entry/615361", "615361")</f>
        <v>615361</v>
      </c>
      <c r="K107" s="0" t="s">
        <v>50</v>
      </c>
      <c r="L107" s="0" t="s">
        <v>50</v>
      </c>
      <c r="M107" s="0" t="s">
        <v>50</v>
      </c>
      <c r="N107" s="0" t="s">
        <v>50</v>
      </c>
      <c r="O107" s="0" t="s">
        <v>50</v>
      </c>
      <c r="P107" s="0" t="s">
        <v>50</v>
      </c>
    </row>
    <row r="108" customFormat="false" ht="15" hidden="false" customHeight="false" outlineLevel="0" collapsed="false">
      <c r="A108" s="0" t="s">
        <v>2562</v>
      </c>
      <c r="B108" s="0" t="s">
        <v>1559</v>
      </c>
      <c r="C108" s="0" t="s">
        <v>1560</v>
      </c>
      <c r="D108" s="0" t="s">
        <v>50</v>
      </c>
      <c r="E108" s="0" t="s">
        <v>1561</v>
      </c>
      <c r="F108" s="0" t="s">
        <v>50</v>
      </c>
      <c r="G108" s="0" t="s">
        <v>2563</v>
      </c>
      <c r="H108" s="0" t="s">
        <v>2564</v>
      </c>
      <c r="I108" s="0" t="str">
        <f aca="false">HYPERLINK("https://omim.org/entry/219080", "219080")</f>
        <v>219080</v>
      </c>
      <c r="J108" s="0" t="str">
        <f aca="false">HYPERLINK("https://omim.org/entry/603233", "603233")</f>
        <v>603233</v>
      </c>
      <c r="K108" s="0" t="str">
        <f aca="false">HYPERLINK("https://omim.org/entry/139320", "139320")</f>
        <v>139320</v>
      </c>
      <c r="L108" s="0" t="s">
        <v>50</v>
      </c>
      <c r="M108" s="0" t="s">
        <v>50</v>
      </c>
      <c r="N108" s="0" t="s">
        <v>50</v>
      </c>
      <c r="O108" s="0" t="s">
        <v>50</v>
      </c>
      <c r="P108" s="0" t="s">
        <v>50</v>
      </c>
    </row>
    <row r="109" customFormat="false" ht="15" hidden="false" customHeight="false" outlineLevel="0" collapsed="false">
      <c r="A109" s="0" t="s">
        <v>2565</v>
      </c>
      <c r="B109" s="0" t="s">
        <v>1914</v>
      </c>
      <c r="C109" s="0" t="s">
        <v>1915</v>
      </c>
      <c r="D109" s="0" t="s">
        <v>1916</v>
      </c>
      <c r="E109" s="0" t="s">
        <v>50</v>
      </c>
      <c r="F109" s="0" t="s">
        <v>2566</v>
      </c>
      <c r="G109" s="0" t="s">
        <v>50</v>
      </c>
      <c r="H109" s="0" t="s">
        <v>50</v>
      </c>
      <c r="I109" s="0" t="s">
        <v>50</v>
      </c>
      <c r="J109" s="0" t="s">
        <v>50</v>
      </c>
      <c r="K109" s="0" t="s">
        <v>50</v>
      </c>
      <c r="L109" s="0" t="s">
        <v>50</v>
      </c>
      <c r="M109" s="0" t="s">
        <v>50</v>
      </c>
      <c r="N109" s="0" t="s">
        <v>50</v>
      </c>
      <c r="O109" s="0" t="s">
        <v>50</v>
      </c>
      <c r="P109" s="0" t="s">
        <v>50</v>
      </c>
    </row>
    <row r="110" customFormat="false" ht="15" hidden="false" customHeight="false" outlineLevel="0" collapsed="false">
      <c r="A110" s="0" t="s">
        <v>2567</v>
      </c>
      <c r="B110" s="0" t="s">
        <v>942</v>
      </c>
      <c r="C110" s="0" t="s">
        <v>943</v>
      </c>
      <c r="D110" s="0" t="s">
        <v>944</v>
      </c>
      <c r="E110" s="0" t="s">
        <v>945</v>
      </c>
      <c r="F110" s="0" t="s">
        <v>2568</v>
      </c>
      <c r="G110" s="0" t="s">
        <v>2569</v>
      </c>
      <c r="H110" s="0" t="s">
        <v>2570</v>
      </c>
      <c r="I110" s="0" t="str">
        <f aca="false">HYPERLINK("https://omim.org/entry/252500", "252500")</f>
        <v>252500</v>
      </c>
      <c r="J110" s="0" t="str">
        <f aca="false">HYPERLINK("https://omim.org/entry/252600", "252600")</f>
        <v>252600</v>
      </c>
      <c r="K110" s="0" t="s">
        <v>50</v>
      </c>
      <c r="L110" s="0" t="s">
        <v>50</v>
      </c>
      <c r="M110" s="0" t="s">
        <v>50</v>
      </c>
      <c r="N110" s="0" t="s">
        <v>50</v>
      </c>
      <c r="O110" s="0" t="s">
        <v>50</v>
      </c>
      <c r="P110" s="0" t="s">
        <v>50</v>
      </c>
    </row>
    <row r="111" customFormat="false" ht="15" hidden="false" customHeight="false" outlineLevel="0" collapsed="false">
      <c r="A111" s="0" t="s">
        <v>2571</v>
      </c>
      <c r="B111" s="0" t="s">
        <v>1385</v>
      </c>
      <c r="C111" s="0" t="s">
        <v>1386</v>
      </c>
      <c r="D111" s="0" t="s">
        <v>1387</v>
      </c>
      <c r="E111" s="0" t="s">
        <v>50</v>
      </c>
      <c r="F111" s="0" t="s">
        <v>2572</v>
      </c>
      <c r="G111" s="0" t="s">
        <v>2573</v>
      </c>
      <c r="H111" s="0" t="s">
        <v>2574</v>
      </c>
      <c r="I111" s="0" t="s">
        <v>50</v>
      </c>
      <c r="J111" s="0" t="s">
        <v>50</v>
      </c>
      <c r="K111" s="0" t="s">
        <v>50</v>
      </c>
      <c r="L111" s="0" t="s">
        <v>50</v>
      </c>
      <c r="M111" s="0" t="s">
        <v>50</v>
      </c>
      <c r="N111" s="0" t="s">
        <v>50</v>
      </c>
      <c r="O111" s="0" t="s">
        <v>50</v>
      </c>
      <c r="P111" s="0" t="s">
        <v>50</v>
      </c>
    </row>
    <row r="112" customFormat="false" ht="15" hidden="false" customHeight="false" outlineLevel="0" collapsed="false">
      <c r="A112" s="0" t="s">
        <v>2575</v>
      </c>
      <c r="B112" s="0" t="s">
        <v>2004</v>
      </c>
      <c r="C112" s="0" t="s">
        <v>2005</v>
      </c>
      <c r="D112" s="0" t="s">
        <v>2006</v>
      </c>
      <c r="E112" s="0" t="s">
        <v>50</v>
      </c>
      <c r="F112" s="0" t="s">
        <v>50</v>
      </c>
      <c r="G112" s="0" t="s">
        <v>2576</v>
      </c>
      <c r="H112" s="0" t="s">
        <v>2577</v>
      </c>
      <c r="I112" s="0" t="s">
        <v>50</v>
      </c>
      <c r="J112" s="0" t="s">
        <v>50</v>
      </c>
      <c r="K112" s="0" t="s">
        <v>50</v>
      </c>
      <c r="L112" s="0" t="s">
        <v>50</v>
      </c>
      <c r="M112" s="0" t="s">
        <v>50</v>
      </c>
      <c r="N112" s="0" t="s">
        <v>50</v>
      </c>
      <c r="O112" s="0" t="s">
        <v>50</v>
      </c>
      <c r="P112" s="0" t="s">
        <v>50</v>
      </c>
    </row>
    <row r="113" customFormat="false" ht="15" hidden="false" customHeight="false" outlineLevel="0" collapsed="false">
      <c r="A113" s="0" t="s">
        <v>2578</v>
      </c>
      <c r="B113" s="0" t="s">
        <v>1979</v>
      </c>
      <c r="C113" s="0" t="s">
        <v>1980</v>
      </c>
      <c r="D113" s="0" t="s">
        <v>1981</v>
      </c>
      <c r="E113" s="0" t="s">
        <v>1982</v>
      </c>
      <c r="F113" s="0" t="s">
        <v>2579</v>
      </c>
      <c r="G113" s="0" t="s">
        <v>2580</v>
      </c>
      <c r="H113" s="0" t="s">
        <v>2581</v>
      </c>
      <c r="I113" s="0" t="s">
        <v>50</v>
      </c>
      <c r="J113" s="0" t="s">
        <v>50</v>
      </c>
      <c r="K113" s="0" t="s">
        <v>50</v>
      </c>
      <c r="L113" s="0" t="s">
        <v>50</v>
      </c>
      <c r="M113" s="0" t="s">
        <v>50</v>
      </c>
      <c r="N113" s="0" t="s">
        <v>50</v>
      </c>
      <c r="O113" s="0" t="s">
        <v>50</v>
      </c>
      <c r="P113" s="0" t="s">
        <v>50</v>
      </c>
    </row>
    <row r="114" customFormat="false" ht="15" hidden="false" customHeight="false" outlineLevel="0" collapsed="false">
      <c r="A114" s="0" t="s">
        <v>2582</v>
      </c>
      <c r="B114" s="0" t="s">
        <v>2142</v>
      </c>
      <c r="C114" s="0" t="s">
        <v>2143</v>
      </c>
      <c r="D114" s="0" t="s">
        <v>2144</v>
      </c>
      <c r="E114" s="0" t="s">
        <v>50</v>
      </c>
      <c r="F114" s="0" t="s">
        <v>2583</v>
      </c>
      <c r="G114" s="0" t="s">
        <v>2584</v>
      </c>
      <c r="H114" s="0" t="s">
        <v>2585</v>
      </c>
      <c r="I114" s="0" t="s">
        <v>50</v>
      </c>
      <c r="J114" s="0" t="s">
        <v>50</v>
      </c>
      <c r="K114" s="0" t="s">
        <v>50</v>
      </c>
      <c r="L114" s="0" t="s">
        <v>50</v>
      </c>
      <c r="M114" s="0" t="s">
        <v>50</v>
      </c>
      <c r="N114" s="0" t="s">
        <v>50</v>
      </c>
      <c r="O114" s="0" t="s">
        <v>50</v>
      </c>
      <c r="P114" s="0" t="s">
        <v>50</v>
      </c>
    </row>
    <row r="115" customFormat="false" ht="15" hidden="false" customHeight="false" outlineLevel="0" collapsed="false">
      <c r="A115" s="0" t="s">
        <v>2586</v>
      </c>
      <c r="B115" s="0" t="s">
        <v>992</v>
      </c>
      <c r="C115" s="0" t="s">
        <v>993</v>
      </c>
      <c r="D115" s="0" t="s">
        <v>994</v>
      </c>
      <c r="E115" s="0" t="s">
        <v>50</v>
      </c>
      <c r="F115" s="0" t="s">
        <v>2587</v>
      </c>
      <c r="G115" s="0" t="s">
        <v>2588</v>
      </c>
      <c r="H115" s="0" t="s">
        <v>2589</v>
      </c>
      <c r="I115" s="0" t="s">
        <v>50</v>
      </c>
      <c r="J115" s="0" t="s">
        <v>50</v>
      </c>
      <c r="K115" s="0" t="s">
        <v>50</v>
      </c>
      <c r="L115" s="0" t="s">
        <v>50</v>
      </c>
      <c r="M115" s="0" t="s">
        <v>50</v>
      </c>
      <c r="N115" s="0" t="s">
        <v>50</v>
      </c>
      <c r="O115" s="0" t="s">
        <v>50</v>
      </c>
      <c r="P115" s="0" t="s">
        <v>50</v>
      </c>
    </row>
    <row r="116" customFormat="false" ht="15" hidden="false" customHeight="false" outlineLevel="0" collapsed="false">
      <c r="A116" s="0" t="s">
        <v>2590</v>
      </c>
      <c r="B116" s="0" t="s">
        <v>1904</v>
      </c>
      <c r="C116" s="0" t="s">
        <v>1911</v>
      </c>
      <c r="D116" s="0" t="s">
        <v>1906</v>
      </c>
      <c r="E116" s="0" t="s">
        <v>50</v>
      </c>
      <c r="F116" s="0" t="s">
        <v>50</v>
      </c>
      <c r="G116" s="0" t="s">
        <v>2591</v>
      </c>
      <c r="H116" s="0" t="s">
        <v>50</v>
      </c>
      <c r="I116" s="0" t="s">
        <v>50</v>
      </c>
      <c r="J116" s="0" t="s">
        <v>50</v>
      </c>
      <c r="K116" s="0" t="s">
        <v>50</v>
      </c>
      <c r="L116" s="0" t="s">
        <v>50</v>
      </c>
      <c r="M116" s="0" t="s">
        <v>50</v>
      </c>
      <c r="N116" s="0" t="s">
        <v>50</v>
      </c>
      <c r="O116" s="0" t="s">
        <v>50</v>
      </c>
      <c r="P116" s="0" t="s">
        <v>50</v>
      </c>
    </row>
    <row r="117" customFormat="false" ht="15" hidden="false" customHeight="false" outlineLevel="0" collapsed="false">
      <c r="A117" s="0" t="s">
        <v>2592</v>
      </c>
      <c r="B117" s="0" t="s">
        <v>50</v>
      </c>
      <c r="C117" s="0" t="s">
        <v>2593</v>
      </c>
      <c r="D117" s="0" t="s">
        <v>50</v>
      </c>
      <c r="E117" s="0" t="s">
        <v>50</v>
      </c>
      <c r="F117" s="0" t="s">
        <v>50</v>
      </c>
      <c r="G117" s="0" t="s">
        <v>50</v>
      </c>
      <c r="H117" s="0" t="s">
        <v>50</v>
      </c>
      <c r="I117" s="0" t="s">
        <v>50</v>
      </c>
      <c r="J117" s="0" t="s">
        <v>50</v>
      </c>
      <c r="K117" s="0" t="s">
        <v>50</v>
      </c>
      <c r="L117" s="0" t="s">
        <v>50</v>
      </c>
      <c r="M117" s="0" t="s">
        <v>50</v>
      </c>
      <c r="N117" s="0" t="s">
        <v>50</v>
      </c>
      <c r="O117" s="0" t="s">
        <v>50</v>
      </c>
      <c r="P117" s="0" t="s">
        <v>50</v>
      </c>
    </row>
    <row r="118" customFormat="false" ht="15" hidden="false" customHeight="false" outlineLevel="0" collapsed="false">
      <c r="A118" s="0" t="s">
        <v>2594</v>
      </c>
      <c r="B118" s="0" t="s">
        <v>922</v>
      </c>
      <c r="C118" s="0" t="s">
        <v>923</v>
      </c>
      <c r="D118" s="0" t="s">
        <v>924</v>
      </c>
      <c r="E118" s="0" t="s">
        <v>925</v>
      </c>
      <c r="F118" s="0" t="s">
        <v>50</v>
      </c>
      <c r="G118" s="0" t="s">
        <v>2595</v>
      </c>
      <c r="H118" s="0" t="s">
        <v>2523</v>
      </c>
      <c r="I118" s="0" t="s">
        <v>50</v>
      </c>
      <c r="J118" s="0" t="s">
        <v>50</v>
      </c>
      <c r="K118" s="0" t="s">
        <v>50</v>
      </c>
      <c r="L118" s="0" t="s">
        <v>50</v>
      </c>
      <c r="M118" s="0" t="s">
        <v>50</v>
      </c>
      <c r="N118" s="0" t="s">
        <v>50</v>
      </c>
      <c r="O118" s="0" t="s">
        <v>50</v>
      </c>
      <c r="P118" s="0" t="s">
        <v>50</v>
      </c>
    </row>
    <row r="119" customFormat="false" ht="15" hidden="false" customHeight="false" outlineLevel="0" collapsed="false">
      <c r="A119" s="0" t="s">
        <v>2596</v>
      </c>
      <c r="B119" s="0" t="s">
        <v>1774</v>
      </c>
      <c r="C119" s="0" t="s">
        <v>1775</v>
      </c>
      <c r="D119" s="0" t="s">
        <v>1776</v>
      </c>
      <c r="E119" s="0" t="s">
        <v>50</v>
      </c>
      <c r="F119" s="0" t="s">
        <v>50</v>
      </c>
      <c r="G119" s="0" t="s">
        <v>2597</v>
      </c>
      <c r="H119" s="0" t="s">
        <v>2598</v>
      </c>
      <c r="I119" s="0" t="s">
        <v>50</v>
      </c>
      <c r="J119" s="0" t="s">
        <v>50</v>
      </c>
      <c r="K119" s="0" t="s">
        <v>50</v>
      </c>
      <c r="L119" s="0" t="s">
        <v>50</v>
      </c>
      <c r="M119" s="0" t="s">
        <v>50</v>
      </c>
      <c r="N119" s="0" t="s">
        <v>50</v>
      </c>
      <c r="O119" s="0" t="s">
        <v>50</v>
      </c>
      <c r="P119" s="0" t="s">
        <v>50</v>
      </c>
    </row>
    <row r="120" customFormat="false" ht="15" hidden="false" customHeight="false" outlineLevel="0" collapsed="false">
      <c r="A120" s="0" t="s">
        <v>2599</v>
      </c>
      <c r="B120" s="0" t="s">
        <v>668</v>
      </c>
      <c r="C120" s="0" t="s">
        <v>669</v>
      </c>
      <c r="D120" s="0" t="s">
        <v>670</v>
      </c>
      <c r="E120" s="0" t="s">
        <v>671</v>
      </c>
      <c r="F120" s="0" t="s">
        <v>2600</v>
      </c>
      <c r="G120" s="0" t="s">
        <v>50</v>
      </c>
      <c r="H120" s="0" t="s">
        <v>50</v>
      </c>
      <c r="I120" s="0" t="s">
        <v>50</v>
      </c>
      <c r="J120" s="0" t="s">
        <v>50</v>
      </c>
      <c r="K120" s="0" t="s">
        <v>50</v>
      </c>
      <c r="L120" s="0" t="s">
        <v>50</v>
      </c>
      <c r="M120" s="0" t="s">
        <v>50</v>
      </c>
      <c r="N120" s="0" t="s">
        <v>50</v>
      </c>
      <c r="O120" s="0" t="s">
        <v>50</v>
      </c>
      <c r="P120" s="0" t="s">
        <v>50</v>
      </c>
    </row>
    <row r="121" customFormat="false" ht="15" hidden="false" customHeight="false" outlineLevel="0" collapsed="false">
      <c r="A121" s="0" t="s">
        <v>2601</v>
      </c>
      <c r="B121" s="0" t="s">
        <v>168</v>
      </c>
      <c r="C121" s="0" t="s">
        <v>169</v>
      </c>
      <c r="D121" s="0" t="s">
        <v>50</v>
      </c>
      <c r="E121" s="0" t="s">
        <v>50</v>
      </c>
      <c r="F121" s="0" t="s">
        <v>50</v>
      </c>
      <c r="G121" s="0" t="s">
        <v>2602</v>
      </c>
      <c r="H121" s="0" t="s">
        <v>2603</v>
      </c>
      <c r="I121" s="0" t="s">
        <v>50</v>
      </c>
      <c r="J121" s="0" t="s">
        <v>50</v>
      </c>
      <c r="K121" s="0" t="s">
        <v>50</v>
      </c>
      <c r="L121" s="0" t="s">
        <v>50</v>
      </c>
      <c r="M121" s="0" t="s">
        <v>50</v>
      </c>
      <c r="N121" s="0" t="s">
        <v>50</v>
      </c>
      <c r="O121" s="0" t="s">
        <v>50</v>
      </c>
      <c r="P121" s="0" t="s">
        <v>50</v>
      </c>
    </row>
    <row r="122" customFormat="false" ht="15" hidden="false" customHeight="false" outlineLevel="0" collapsed="false">
      <c r="A122" s="0" t="s">
        <v>2604</v>
      </c>
      <c r="B122" s="0" t="s">
        <v>1760</v>
      </c>
      <c r="C122" s="0" t="s">
        <v>1761</v>
      </c>
      <c r="D122" s="0" t="s">
        <v>1762</v>
      </c>
      <c r="E122" s="0" t="s">
        <v>1763</v>
      </c>
      <c r="F122" s="0" t="s">
        <v>2605</v>
      </c>
      <c r="G122" s="0" t="s">
        <v>2606</v>
      </c>
      <c r="H122" s="0" t="s">
        <v>2607</v>
      </c>
      <c r="I122" s="0" t="str">
        <f aca="false">HYPERLINK("https://omim.org/entry/143100", "143100")</f>
        <v>143100</v>
      </c>
      <c r="J122" s="0" t="s">
        <v>50</v>
      </c>
      <c r="K122" s="0" t="s">
        <v>50</v>
      </c>
      <c r="L122" s="0" t="s">
        <v>50</v>
      </c>
      <c r="M122" s="0" t="s">
        <v>50</v>
      </c>
      <c r="N122" s="0" t="s">
        <v>50</v>
      </c>
      <c r="O122" s="0" t="s">
        <v>50</v>
      </c>
      <c r="P122" s="0" t="s">
        <v>50</v>
      </c>
    </row>
    <row r="123" customFormat="false" ht="15" hidden="false" customHeight="false" outlineLevel="0" collapsed="false">
      <c r="A123" s="0" t="s">
        <v>2608</v>
      </c>
      <c r="B123" s="0" t="s">
        <v>50</v>
      </c>
      <c r="C123" s="0" t="s">
        <v>1092</v>
      </c>
      <c r="D123" s="0" t="s">
        <v>1093</v>
      </c>
      <c r="E123" s="0" t="s">
        <v>1094</v>
      </c>
      <c r="F123" s="0" t="s">
        <v>50</v>
      </c>
      <c r="G123" s="0" t="s">
        <v>2609</v>
      </c>
      <c r="H123" s="0" t="s">
        <v>2610</v>
      </c>
      <c r="I123" s="0" t="str">
        <f aca="false">HYPERLINK("https://omim.org/entry/608647", "608647")</f>
        <v>608647</v>
      </c>
      <c r="J123" s="0" t="s">
        <v>50</v>
      </c>
      <c r="K123" s="0" t="s">
        <v>50</v>
      </c>
      <c r="L123" s="0" t="s">
        <v>50</v>
      </c>
      <c r="M123" s="0" t="s">
        <v>50</v>
      </c>
      <c r="N123" s="0" t="s">
        <v>50</v>
      </c>
      <c r="O123" s="0" t="s">
        <v>50</v>
      </c>
      <c r="P123" s="0" t="s">
        <v>50</v>
      </c>
    </row>
    <row r="124" customFormat="false" ht="15" hidden="false" customHeight="false" outlineLevel="0" collapsed="false">
      <c r="A124" s="0" t="s">
        <v>2611</v>
      </c>
      <c r="B124" s="0" t="s">
        <v>112</v>
      </c>
      <c r="C124" s="0" t="s">
        <v>113</v>
      </c>
      <c r="D124" s="0" t="s">
        <v>114</v>
      </c>
      <c r="E124" s="0" t="s">
        <v>50</v>
      </c>
      <c r="F124" s="0" t="s">
        <v>2612</v>
      </c>
      <c r="G124" s="0" t="s">
        <v>2613</v>
      </c>
      <c r="H124" s="0" t="s">
        <v>2238</v>
      </c>
      <c r="I124" s="0" t="s">
        <v>50</v>
      </c>
      <c r="J124" s="0" t="s">
        <v>50</v>
      </c>
      <c r="K124" s="0" t="s">
        <v>50</v>
      </c>
      <c r="L124" s="0" t="s">
        <v>50</v>
      </c>
      <c r="M124" s="0" t="s">
        <v>50</v>
      </c>
      <c r="N124" s="0" t="s">
        <v>50</v>
      </c>
      <c r="O124" s="0" t="s">
        <v>50</v>
      </c>
      <c r="P124" s="0" t="s">
        <v>50</v>
      </c>
    </row>
    <row r="125" customFormat="false" ht="15" hidden="false" customHeight="false" outlineLevel="0" collapsed="false">
      <c r="A125" s="0" t="s">
        <v>2614</v>
      </c>
      <c r="B125" s="0" t="s">
        <v>1724</v>
      </c>
      <c r="C125" s="0" t="s">
        <v>1725</v>
      </c>
      <c r="D125" s="0" t="s">
        <v>1726</v>
      </c>
      <c r="E125" s="0" t="s">
        <v>50</v>
      </c>
      <c r="F125" s="0" t="s">
        <v>2615</v>
      </c>
      <c r="G125" s="0" t="s">
        <v>2616</v>
      </c>
      <c r="H125" s="0" t="s">
        <v>2617</v>
      </c>
      <c r="I125" s="0" t="s">
        <v>50</v>
      </c>
      <c r="J125" s="0" t="s">
        <v>50</v>
      </c>
      <c r="K125" s="0" t="s">
        <v>50</v>
      </c>
      <c r="L125" s="0" t="s">
        <v>50</v>
      </c>
      <c r="M125" s="0" t="s">
        <v>50</v>
      </c>
      <c r="N125" s="0" t="s">
        <v>50</v>
      </c>
      <c r="O125" s="0" t="s">
        <v>50</v>
      </c>
      <c r="P125" s="0" t="s">
        <v>50</v>
      </c>
    </row>
    <row r="126" customFormat="false" ht="15" hidden="false" customHeight="false" outlineLevel="0" collapsed="false">
      <c r="A126" s="0" t="s">
        <v>2618</v>
      </c>
      <c r="B126" s="0" t="s">
        <v>961</v>
      </c>
      <c r="C126" s="0" t="s">
        <v>962</v>
      </c>
      <c r="D126" s="0" t="s">
        <v>963</v>
      </c>
      <c r="E126" s="0" t="s">
        <v>50</v>
      </c>
      <c r="F126" s="0" t="s">
        <v>2619</v>
      </c>
      <c r="G126" s="0" t="s">
        <v>2620</v>
      </c>
      <c r="H126" s="0" t="s">
        <v>2621</v>
      </c>
      <c r="I126" s="0" t="s">
        <v>50</v>
      </c>
      <c r="J126" s="0" t="s">
        <v>50</v>
      </c>
      <c r="K126" s="0" t="s">
        <v>50</v>
      </c>
      <c r="L126" s="0" t="s">
        <v>50</v>
      </c>
      <c r="M126" s="0" t="s">
        <v>50</v>
      </c>
      <c r="N126" s="0" t="s">
        <v>50</v>
      </c>
      <c r="O126" s="0" t="s">
        <v>50</v>
      </c>
      <c r="P126" s="0" t="s">
        <v>50</v>
      </c>
    </row>
    <row r="127" customFormat="false" ht="15" hidden="false" customHeight="false" outlineLevel="0" collapsed="false">
      <c r="A127" s="0" t="s">
        <v>2622</v>
      </c>
      <c r="B127" s="0" t="s">
        <v>950</v>
      </c>
      <c r="C127" s="0" t="s">
        <v>951</v>
      </c>
      <c r="D127" s="0" t="s">
        <v>952</v>
      </c>
      <c r="E127" s="0" t="s">
        <v>953</v>
      </c>
      <c r="F127" s="0" t="s">
        <v>50</v>
      </c>
      <c r="G127" s="0" t="s">
        <v>2623</v>
      </c>
      <c r="H127" s="0" t="s">
        <v>2624</v>
      </c>
      <c r="I127" s="0" t="str">
        <f aca="false">HYPERLINK("https://omim.org/entry/608747", "608747")</f>
        <v>608747</v>
      </c>
      <c r="J127" s="0" t="s">
        <v>50</v>
      </c>
      <c r="K127" s="0" t="s">
        <v>50</v>
      </c>
      <c r="L127" s="0" t="s">
        <v>50</v>
      </c>
      <c r="M127" s="0" t="s">
        <v>50</v>
      </c>
      <c r="N127" s="0" t="s">
        <v>50</v>
      </c>
      <c r="O127" s="0" t="s">
        <v>50</v>
      </c>
      <c r="P127" s="0" t="s">
        <v>50</v>
      </c>
    </row>
    <row r="128" customFormat="false" ht="15" hidden="false" customHeight="false" outlineLevel="0" collapsed="false">
      <c r="A128" s="0" t="s">
        <v>2625</v>
      </c>
      <c r="B128" s="0" t="s">
        <v>1042</v>
      </c>
      <c r="C128" s="0" t="s">
        <v>1050</v>
      </c>
      <c r="D128" s="0" t="s">
        <v>1044</v>
      </c>
      <c r="E128" s="0" t="s">
        <v>1045</v>
      </c>
      <c r="F128" s="0" t="s">
        <v>2626</v>
      </c>
      <c r="G128" s="0" t="s">
        <v>2627</v>
      </c>
      <c r="H128" s="0" t="s">
        <v>2628</v>
      </c>
      <c r="I128" s="0" t="str">
        <f aca="false">HYPERLINK("https://omim.org/entry/270450", "270450")</f>
        <v>270450</v>
      </c>
      <c r="J128" s="0" t="s">
        <v>50</v>
      </c>
      <c r="K128" s="0" t="s">
        <v>50</v>
      </c>
      <c r="L128" s="0" t="s">
        <v>50</v>
      </c>
      <c r="M128" s="0" t="s">
        <v>50</v>
      </c>
      <c r="N128" s="0" t="s">
        <v>50</v>
      </c>
      <c r="O128" s="0" t="s">
        <v>50</v>
      </c>
      <c r="P128" s="0" t="s">
        <v>50</v>
      </c>
    </row>
    <row r="129" customFormat="false" ht="15" hidden="false" customHeight="false" outlineLevel="0" collapsed="false">
      <c r="A129" s="0" t="s">
        <v>2629</v>
      </c>
      <c r="B129" s="0" t="s">
        <v>711</v>
      </c>
      <c r="C129" s="0" t="s">
        <v>712</v>
      </c>
      <c r="D129" s="0" t="s">
        <v>50</v>
      </c>
      <c r="E129" s="0" t="s">
        <v>50</v>
      </c>
      <c r="F129" s="0" t="s">
        <v>2630</v>
      </c>
      <c r="G129" s="0" t="s">
        <v>2631</v>
      </c>
      <c r="H129" s="0" t="s">
        <v>2523</v>
      </c>
      <c r="I129" s="0" t="s">
        <v>50</v>
      </c>
      <c r="J129" s="0" t="s">
        <v>50</v>
      </c>
      <c r="K129" s="0" t="s">
        <v>50</v>
      </c>
      <c r="L129" s="0" t="s">
        <v>50</v>
      </c>
      <c r="M129" s="0" t="s">
        <v>50</v>
      </c>
      <c r="N129" s="0" t="s">
        <v>50</v>
      </c>
      <c r="O129" s="0" t="s">
        <v>50</v>
      </c>
      <c r="P129" s="0" t="s">
        <v>50</v>
      </c>
    </row>
    <row r="130" customFormat="false" ht="15" hidden="false" customHeight="false" outlineLevel="0" collapsed="false">
      <c r="A130" s="0" t="s">
        <v>2632</v>
      </c>
      <c r="B130" s="0" t="s">
        <v>552</v>
      </c>
      <c r="C130" s="0" t="s">
        <v>553</v>
      </c>
      <c r="D130" s="0" t="s">
        <v>50</v>
      </c>
      <c r="E130" s="0" t="s">
        <v>50</v>
      </c>
      <c r="F130" s="0" t="s">
        <v>2633</v>
      </c>
      <c r="G130" s="0" t="s">
        <v>2634</v>
      </c>
      <c r="H130" s="0" t="s">
        <v>2635</v>
      </c>
      <c r="I130" s="0" t="s">
        <v>50</v>
      </c>
      <c r="J130" s="0" t="s">
        <v>50</v>
      </c>
      <c r="K130" s="0" t="s">
        <v>50</v>
      </c>
      <c r="L130" s="0" t="s">
        <v>50</v>
      </c>
      <c r="M130" s="0" t="s">
        <v>50</v>
      </c>
      <c r="N130" s="0" t="s">
        <v>50</v>
      </c>
      <c r="O130" s="0" t="s">
        <v>50</v>
      </c>
      <c r="P130" s="0" t="s">
        <v>50</v>
      </c>
    </row>
    <row r="131" customFormat="false" ht="15" hidden="false" customHeight="false" outlineLevel="0" collapsed="false">
      <c r="A131" s="0" t="s">
        <v>2636</v>
      </c>
      <c r="B131" s="0" t="s">
        <v>1742</v>
      </c>
      <c r="C131" s="0" t="s">
        <v>1743</v>
      </c>
      <c r="D131" s="0" t="s">
        <v>1744</v>
      </c>
      <c r="E131" s="0" t="s">
        <v>50</v>
      </c>
      <c r="F131" s="0" t="s">
        <v>2637</v>
      </c>
      <c r="G131" s="0" t="s">
        <v>2638</v>
      </c>
      <c r="H131" s="0" t="s">
        <v>2639</v>
      </c>
      <c r="I131" s="0" t="s">
        <v>50</v>
      </c>
      <c r="J131" s="0" t="s">
        <v>50</v>
      </c>
      <c r="K131" s="0" t="s">
        <v>50</v>
      </c>
      <c r="L131" s="0" t="s">
        <v>50</v>
      </c>
      <c r="M131" s="0" t="s">
        <v>50</v>
      </c>
      <c r="N131" s="0" t="s">
        <v>50</v>
      </c>
      <c r="O131" s="0" t="s">
        <v>50</v>
      </c>
      <c r="P131" s="0" t="s">
        <v>50</v>
      </c>
    </row>
    <row r="132" customFormat="false" ht="15" hidden="false" customHeight="false" outlineLevel="0" collapsed="false">
      <c r="A132" s="0" t="s">
        <v>2640</v>
      </c>
      <c r="B132" s="0" t="s">
        <v>50</v>
      </c>
      <c r="C132" s="0" t="s">
        <v>2641</v>
      </c>
      <c r="D132" s="0" t="s">
        <v>50</v>
      </c>
      <c r="E132" s="0" t="s">
        <v>50</v>
      </c>
      <c r="F132" s="0" t="s">
        <v>50</v>
      </c>
      <c r="G132" s="0" t="s">
        <v>50</v>
      </c>
      <c r="H132" s="0" t="s">
        <v>50</v>
      </c>
      <c r="I132" s="0" t="s">
        <v>50</v>
      </c>
      <c r="J132" s="0" t="s">
        <v>50</v>
      </c>
      <c r="K132" s="0" t="s">
        <v>50</v>
      </c>
      <c r="L132" s="0" t="s">
        <v>50</v>
      </c>
      <c r="M132" s="0" t="s">
        <v>50</v>
      </c>
      <c r="N132" s="0" t="s">
        <v>50</v>
      </c>
      <c r="O132" s="0" t="s">
        <v>50</v>
      </c>
      <c r="P132" s="0" t="s">
        <v>50</v>
      </c>
    </row>
    <row r="133" customFormat="false" ht="15" hidden="false" customHeight="false" outlineLevel="0" collapsed="false">
      <c r="A133" s="0" t="s">
        <v>2642</v>
      </c>
      <c r="B133" s="0" t="s">
        <v>1973</v>
      </c>
      <c r="C133" s="0" t="s">
        <v>1974</v>
      </c>
      <c r="D133" s="0" t="s">
        <v>1975</v>
      </c>
      <c r="E133" s="0" t="s">
        <v>1976</v>
      </c>
      <c r="F133" s="0" t="s">
        <v>2643</v>
      </c>
      <c r="G133" s="0" t="s">
        <v>50</v>
      </c>
      <c r="H133" s="0" t="s">
        <v>50</v>
      </c>
      <c r="I133" s="0" t="str">
        <f aca="false">HYPERLINK("https://omim.org/entry/616052", "616052")</f>
        <v>616052</v>
      </c>
      <c r="J133" s="0" t="s">
        <v>50</v>
      </c>
      <c r="K133" s="0" t="s">
        <v>50</v>
      </c>
      <c r="L133" s="0" t="s">
        <v>50</v>
      </c>
      <c r="M133" s="0" t="s">
        <v>50</v>
      </c>
      <c r="N133" s="0" t="s">
        <v>50</v>
      </c>
      <c r="O133" s="0" t="s">
        <v>50</v>
      </c>
      <c r="P133" s="0" t="s">
        <v>50</v>
      </c>
    </row>
    <row r="134" customFormat="false" ht="15" hidden="false" customHeight="false" outlineLevel="0" collapsed="false">
      <c r="A134" s="0" t="s">
        <v>2644</v>
      </c>
      <c r="B134" s="0" t="s">
        <v>1374</v>
      </c>
      <c r="C134" s="0" t="s">
        <v>1375</v>
      </c>
      <c r="D134" s="0" t="s">
        <v>1376</v>
      </c>
      <c r="E134" s="0" t="s">
        <v>50</v>
      </c>
      <c r="F134" s="0" t="s">
        <v>2645</v>
      </c>
      <c r="G134" s="0" t="s">
        <v>2646</v>
      </c>
      <c r="H134" s="0" t="s">
        <v>2647</v>
      </c>
      <c r="I134" s="0" t="s">
        <v>50</v>
      </c>
      <c r="J134" s="0" t="s">
        <v>50</v>
      </c>
      <c r="K134" s="0" t="s">
        <v>50</v>
      </c>
      <c r="L134" s="0" t="s">
        <v>50</v>
      </c>
      <c r="M134" s="0" t="s">
        <v>50</v>
      </c>
      <c r="N134" s="0" t="s">
        <v>50</v>
      </c>
      <c r="O134" s="0" t="s">
        <v>50</v>
      </c>
      <c r="P134" s="0" t="s">
        <v>50</v>
      </c>
    </row>
    <row r="135" customFormat="false" ht="15" hidden="false" customHeight="false" outlineLevel="0" collapsed="false">
      <c r="A135" s="0" t="s">
        <v>2648</v>
      </c>
      <c r="B135" s="0" t="s">
        <v>2100</v>
      </c>
      <c r="C135" s="0" t="s">
        <v>2101</v>
      </c>
      <c r="D135" s="0" t="s">
        <v>2102</v>
      </c>
      <c r="E135" s="0" t="s">
        <v>2103</v>
      </c>
      <c r="F135" s="0" t="s">
        <v>2649</v>
      </c>
      <c r="G135" s="0" t="s">
        <v>50</v>
      </c>
      <c r="H135" s="0" t="s">
        <v>50</v>
      </c>
      <c r="I135" s="0" t="str">
        <f aca="false">HYPERLINK("https://omim.org/entry/600880", "600880")</f>
        <v>600880</v>
      </c>
      <c r="J135" s="0" t="str">
        <f aca="false">HYPERLINK("https://omim.org/entry/263300", "263300")</f>
        <v>263300</v>
      </c>
      <c r="K135" s="0" t="str">
        <f aca="false">HYPERLINK("https://omim.org/entry/614521", "614521")</f>
        <v>614521</v>
      </c>
      <c r="L135" s="0" t="str">
        <f aca="false">HYPERLINK("https://omim.org/entry/254450", "254450")</f>
        <v>254450</v>
      </c>
      <c r="M135" s="0" t="str">
        <f aca="false">HYPERLINK("https://omim.org/entry/601626", "601626")</f>
        <v>601626</v>
      </c>
      <c r="N135" s="0" t="s">
        <v>50</v>
      </c>
      <c r="O135" s="0" t="s">
        <v>50</v>
      </c>
      <c r="P135" s="0" t="s">
        <v>50</v>
      </c>
    </row>
    <row r="136" customFormat="false" ht="15" hidden="false" customHeight="false" outlineLevel="0" collapsed="false">
      <c r="A136" s="0" t="s">
        <v>2650</v>
      </c>
      <c r="B136" s="0" t="s">
        <v>1205</v>
      </c>
      <c r="C136" s="0" t="s">
        <v>1206</v>
      </c>
      <c r="D136" s="0" t="s">
        <v>1207</v>
      </c>
      <c r="E136" s="0" t="s">
        <v>1208</v>
      </c>
      <c r="F136" s="0" t="s">
        <v>2651</v>
      </c>
      <c r="G136" s="0" t="s">
        <v>2652</v>
      </c>
      <c r="H136" s="0" t="s">
        <v>2653</v>
      </c>
      <c r="I136" s="0" t="str">
        <f aca="false">HYPERLINK("https://omim.org/entry/181270", "181270")</f>
        <v>181270</v>
      </c>
      <c r="J136" s="0" t="s">
        <v>50</v>
      </c>
      <c r="K136" s="0" t="s">
        <v>50</v>
      </c>
      <c r="L136" s="0" t="s">
        <v>50</v>
      </c>
      <c r="M136" s="0" t="s">
        <v>50</v>
      </c>
      <c r="N136" s="0" t="s">
        <v>50</v>
      </c>
      <c r="O136" s="0" t="s">
        <v>50</v>
      </c>
      <c r="P136" s="0" t="s">
        <v>50</v>
      </c>
    </row>
    <row r="137" customFormat="false" ht="15" hidden="false" customHeight="false" outlineLevel="0" collapsed="false">
      <c r="A137" s="0" t="s">
        <v>1892</v>
      </c>
      <c r="B137" s="0" t="s">
        <v>1891</v>
      </c>
      <c r="C137" s="0" t="s">
        <v>1892</v>
      </c>
      <c r="D137" s="0" t="s">
        <v>1893</v>
      </c>
      <c r="E137" s="0" t="s">
        <v>1894</v>
      </c>
      <c r="F137" s="0" t="s">
        <v>2654</v>
      </c>
      <c r="G137" s="0" t="s">
        <v>50</v>
      </c>
      <c r="H137" s="0" t="s">
        <v>50</v>
      </c>
      <c r="I137" s="0" t="str">
        <f aca="false">HYPERLINK("https://omim.org/entry/600202", "600202")</f>
        <v>600202</v>
      </c>
      <c r="J137" s="0" t="s">
        <v>50</v>
      </c>
      <c r="K137" s="0" t="s">
        <v>50</v>
      </c>
      <c r="L137" s="0" t="s">
        <v>50</v>
      </c>
      <c r="M137" s="0" t="s">
        <v>50</v>
      </c>
      <c r="N137" s="0" t="s">
        <v>50</v>
      </c>
      <c r="O137" s="0" t="s">
        <v>50</v>
      </c>
      <c r="P137" s="0" t="s">
        <v>50</v>
      </c>
    </row>
    <row r="138" customFormat="false" ht="15" hidden="false" customHeight="false" outlineLevel="0" collapsed="false">
      <c r="A138" s="0" t="s">
        <v>1055</v>
      </c>
      <c r="B138" s="0" t="s">
        <v>1054</v>
      </c>
      <c r="C138" s="0" t="s">
        <v>1055</v>
      </c>
      <c r="D138" s="0" t="s">
        <v>1056</v>
      </c>
      <c r="E138" s="0" t="s">
        <v>50</v>
      </c>
      <c r="F138" s="0" t="s">
        <v>50</v>
      </c>
      <c r="G138" s="0" t="s">
        <v>2655</v>
      </c>
      <c r="H138" s="0" t="s">
        <v>2656</v>
      </c>
      <c r="I138" s="0" t="s">
        <v>50</v>
      </c>
      <c r="J138" s="0" t="s">
        <v>50</v>
      </c>
      <c r="K138" s="0" t="s">
        <v>50</v>
      </c>
      <c r="L138" s="0" t="s">
        <v>50</v>
      </c>
      <c r="M138" s="0" t="s">
        <v>50</v>
      </c>
      <c r="N138" s="0" t="s">
        <v>50</v>
      </c>
      <c r="O138" s="0" t="s">
        <v>50</v>
      </c>
      <c r="P138" s="0" t="s">
        <v>50</v>
      </c>
    </row>
    <row r="139" customFormat="false" ht="15" hidden="false" customHeight="false" outlineLevel="0" collapsed="false">
      <c r="A139" s="0" t="s">
        <v>610</v>
      </c>
      <c r="B139" s="0" t="s">
        <v>609</v>
      </c>
      <c r="C139" s="0" t="s">
        <v>610</v>
      </c>
      <c r="D139" s="0" t="s">
        <v>50</v>
      </c>
      <c r="E139" s="0" t="s">
        <v>50</v>
      </c>
      <c r="F139" s="0" t="s">
        <v>50</v>
      </c>
      <c r="G139" s="0" t="s">
        <v>2657</v>
      </c>
      <c r="H139" s="0" t="s">
        <v>50</v>
      </c>
      <c r="I139" s="0" t="s">
        <v>50</v>
      </c>
      <c r="J139" s="0" t="s">
        <v>50</v>
      </c>
      <c r="K139" s="0" t="s">
        <v>50</v>
      </c>
      <c r="L139" s="0" t="s">
        <v>50</v>
      </c>
      <c r="M139" s="0" t="s">
        <v>50</v>
      </c>
      <c r="N139" s="0" t="s">
        <v>50</v>
      </c>
      <c r="O139" s="0" t="s">
        <v>50</v>
      </c>
      <c r="P139" s="0" t="s">
        <v>50</v>
      </c>
    </row>
    <row r="140" customFormat="false" ht="15" hidden="false" customHeight="false" outlineLevel="0" collapsed="false">
      <c r="A140" s="0" t="s">
        <v>500</v>
      </c>
      <c r="B140" s="0" t="s">
        <v>499</v>
      </c>
      <c r="C140" s="0" t="s">
        <v>500</v>
      </c>
      <c r="D140" s="0" t="s">
        <v>50</v>
      </c>
      <c r="E140" s="0" t="s">
        <v>50</v>
      </c>
      <c r="F140" s="0" t="s">
        <v>50</v>
      </c>
      <c r="G140" s="0" t="s">
        <v>2658</v>
      </c>
      <c r="H140" s="0" t="s">
        <v>2534</v>
      </c>
      <c r="I140" s="0" t="s">
        <v>50</v>
      </c>
      <c r="J140" s="0" t="s">
        <v>50</v>
      </c>
      <c r="K140" s="0" t="s">
        <v>50</v>
      </c>
      <c r="L140" s="0" t="s">
        <v>50</v>
      </c>
      <c r="M140" s="0" t="s">
        <v>50</v>
      </c>
      <c r="N140" s="0" t="s">
        <v>50</v>
      </c>
      <c r="O140" s="0" t="s">
        <v>50</v>
      </c>
      <c r="P140" s="0" t="s">
        <v>50</v>
      </c>
    </row>
    <row r="141" customFormat="false" ht="15" hidden="false" customHeight="false" outlineLevel="0" collapsed="false">
      <c r="A141" s="0" t="s">
        <v>2659</v>
      </c>
      <c r="B141" s="0" t="s">
        <v>2660</v>
      </c>
      <c r="C141" s="0" t="s">
        <v>2661</v>
      </c>
      <c r="D141" s="0" t="s">
        <v>2662</v>
      </c>
      <c r="E141" s="0" t="s">
        <v>50</v>
      </c>
      <c r="F141" s="0" t="s">
        <v>50</v>
      </c>
      <c r="G141" s="0" t="s">
        <v>2663</v>
      </c>
      <c r="H141" s="0" t="s">
        <v>2436</v>
      </c>
      <c r="I141" s="0" t="s">
        <v>50</v>
      </c>
      <c r="J141" s="0" t="s">
        <v>50</v>
      </c>
      <c r="K141" s="0" t="s">
        <v>50</v>
      </c>
      <c r="L141" s="0" t="s">
        <v>50</v>
      </c>
      <c r="M141" s="0" t="s">
        <v>50</v>
      </c>
      <c r="N141" s="0" t="s">
        <v>50</v>
      </c>
      <c r="O141" s="0" t="s">
        <v>50</v>
      </c>
      <c r="P141" s="0" t="s">
        <v>50</v>
      </c>
    </row>
    <row r="142" customFormat="false" ht="15" hidden="false" customHeight="false" outlineLevel="0" collapsed="false">
      <c r="A142" s="0" t="s">
        <v>2664</v>
      </c>
      <c r="B142" s="0" t="s">
        <v>2665</v>
      </c>
      <c r="C142" s="0" t="s">
        <v>2666</v>
      </c>
      <c r="D142" s="0" t="s">
        <v>2667</v>
      </c>
      <c r="E142" s="0" t="s">
        <v>50</v>
      </c>
      <c r="F142" s="0" t="s">
        <v>50</v>
      </c>
      <c r="G142" s="0" t="s">
        <v>50</v>
      </c>
      <c r="H142" s="0" t="s">
        <v>50</v>
      </c>
      <c r="I142" s="0" t="s">
        <v>50</v>
      </c>
      <c r="J142" s="0" t="s">
        <v>50</v>
      </c>
      <c r="K142" s="0" t="s">
        <v>50</v>
      </c>
      <c r="L142" s="0" t="s">
        <v>50</v>
      </c>
      <c r="M142" s="0" t="s">
        <v>50</v>
      </c>
      <c r="N142" s="0" t="s">
        <v>50</v>
      </c>
      <c r="O142" s="0" t="s">
        <v>50</v>
      </c>
      <c r="P142" s="0" t="s">
        <v>50</v>
      </c>
    </row>
    <row r="143" customFormat="false" ht="15" hidden="false" customHeight="false" outlineLevel="0" collapsed="false">
      <c r="A143" s="0" t="s">
        <v>2668</v>
      </c>
      <c r="B143" s="0" t="s">
        <v>1324</v>
      </c>
      <c r="C143" s="0" t="s">
        <v>1325</v>
      </c>
      <c r="D143" s="0" t="s">
        <v>1326</v>
      </c>
      <c r="E143" s="0" t="s">
        <v>50</v>
      </c>
      <c r="F143" s="0" t="s">
        <v>50</v>
      </c>
      <c r="G143" s="0" t="s">
        <v>50</v>
      </c>
      <c r="H143" s="0" t="s">
        <v>50</v>
      </c>
      <c r="I143" s="0" t="s">
        <v>50</v>
      </c>
      <c r="J143" s="0" t="s">
        <v>50</v>
      </c>
      <c r="K143" s="0" t="s">
        <v>50</v>
      </c>
      <c r="L143" s="0" t="s">
        <v>50</v>
      </c>
      <c r="M143" s="0" t="s">
        <v>50</v>
      </c>
      <c r="N143" s="0" t="s">
        <v>50</v>
      </c>
      <c r="O143" s="0" t="s">
        <v>50</v>
      </c>
      <c r="P143" s="0" t="s">
        <v>50</v>
      </c>
    </row>
    <row r="144" customFormat="false" ht="15" hidden="false" customHeight="false" outlineLevel="0" collapsed="false">
      <c r="A144" s="0" t="s">
        <v>2669</v>
      </c>
      <c r="B144" s="0" t="s">
        <v>50</v>
      </c>
      <c r="C144" s="0" t="s">
        <v>2670</v>
      </c>
      <c r="D144" s="0" t="s">
        <v>2671</v>
      </c>
      <c r="E144" s="0" t="s">
        <v>50</v>
      </c>
      <c r="F144" s="0" t="s">
        <v>50</v>
      </c>
      <c r="G144" s="0" t="s">
        <v>2672</v>
      </c>
      <c r="H144" s="0" t="s">
        <v>2673</v>
      </c>
      <c r="I144" s="0" t="s">
        <v>50</v>
      </c>
      <c r="J144" s="0" t="s">
        <v>50</v>
      </c>
      <c r="K144" s="0" t="s">
        <v>50</v>
      </c>
      <c r="L144" s="0" t="s">
        <v>50</v>
      </c>
      <c r="M144" s="0" t="s">
        <v>50</v>
      </c>
      <c r="N144" s="0" t="s">
        <v>50</v>
      </c>
      <c r="O144" s="0" t="s">
        <v>50</v>
      </c>
      <c r="P144" s="0" t="s">
        <v>50</v>
      </c>
    </row>
    <row r="145" customFormat="false" ht="15" hidden="false" customHeight="false" outlineLevel="0" collapsed="false">
      <c r="A145" s="0" t="s">
        <v>2674</v>
      </c>
      <c r="B145" s="0" t="s">
        <v>1344</v>
      </c>
      <c r="C145" s="0" t="s">
        <v>2675</v>
      </c>
      <c r="D145" s="0" t="s">
        <v>2676</v>
      </c>
      <c r="E145" s="0" t="s">
        <v>50</v>
      </c>
      <c r="F145" s="0" t="s">
        <v>50</v>
      </c>
      <c r="G145" s="0" t="s">
        <v>2677</v>
      </c>
      <c r="H145" s="0" t="s">
        <v>2678</v>
      </c>
      <c r="I145" s="0" t="s">
        <v>50</v>
      </c>
      <c r="J145" s="0" t="s">
        <v>50</v>
      </c>
      <c r="K145" s="0" t="s">
        <v>50</v>
      </c>
      <c r="L145" s="0" t="s">
        <v>50</v>
      </c>
      <c r="M145" s="0" t="s">
        <v>50</v>
      </c>
      <c r="N145" s="0" t="s">
        <v>50</v>
      </c>
      <c r="O145" s="0" t="s">
        <v>50</v>
      </c>
      <c r="P145" s="0" t="s">
        <v>50</v>
      </c>
    </row>
    <row r="146" customFormat="false" ht="15" hidden="false" customHeight="false" outlineLevel="0" collapsed="false">
      <c r="A146" s="0" t="s">
        <v>2679</v>
      </c>
      <c r="B146" s="0" t="s">
        <v>2680</v>
      </c>
      <c r="C146" s="0" t="s">
        <v>2681</v>
      </c>
      <c r="D146" s="0" t="s">
        <v>2682</v>
      </c>
      <c r="E146" s="0" t="s">
        <v>50</v>
      </c>
      <c r="F146" s="0" t="s">
        <v>50</v>
      </c>
      <c r="G146" s="0" t="s">
        <v>2683</v>
      </c>
      <c r="H146" s="0" t="s">
        <v>50</v>
      </c>
      <c r="I146" s="0" t="s">
        <v>50</v>
      </c>
      <c r="J146" s="0" t="s">
        <v>50</v>
      </c>
      <c r="K146" s="0" t="s">
        <v>50</v>
      </c>
      <c r="L146" s="0" t="s">
        <v>50</v>
      </c>
      <c r="M146" s="0" t="s">
        <v>50</v>
      </c>
      <c r="N146" s="0" t="s">
        <v>50</v>
      </c>
      <c r="O146" s="0" t="s">
        <v>50</v>
      </c>
      <c r="P146" s="0" t="s">
        <v>50</v>
      </c>
    </row>
    <row r="147" customFormat="false" ht="15" hidden="false" customHeight="false" outlineLevel="0" collapsed="false">
      <c r="A147" s="0" t="s">
        <v>2684</v>
      </c>
      <c r="B147" s="0" t="s">
        <v>50</v>
      </c>
      <c r="C147" s="0" t="s">
        <v>1528</v>
      </c>
      <c r="D147" s="0" t="s">
        <v>1529</v>
      </c>
      <c r="E147" s="0" t="s">
        <v>1530</v>
      </c>
      <c r="F147" s="0" t="s">
        <v>50</v>
      </c>
      <c r="G147" s="0" t="s">
        <v>50</v>
      </c>
      <c r="H147" s="0" t="s">
        <v>50</v>
      </c>
      <c r="I147" s="0" t="str">
        <f aca="false">HYPERLINK("https://omim.org/entry/615780", "615780")</f>
        <v>615780</v>
      </c>
      <c r="J147" s="0" t="s">
        <v>50</v>
      </c>
      <c r="K147" s="0" t="s">
        <v>50</v>
      </c>
      <c r="L147" s="0" t="s">
        <v>50</v>
      </c>
      <c r="M147" s="0" t="s">
        <v>50</v>
      </c>
      <c r="N147" s="0" t="s">
        <v>50</v>
      </c>
      <c r="O147" s="0" t="s">
        <v>50</v>
      </c>
      <c r="P147" s="0" t="s">
        <v>50</v>
      </c>
    </row>
    <row r="148" customFormat="false" ht="15" hidden="false" customHeight="false" outlineLevel="0" collapsed="false">
      <c r="A148" s="0" t="s">
        <v>2685</v>
      </c>
      <c r="B148" s="0" t="s">
        <v>274</v>
      </c>
      <c r="C148" s="0" t="s">
        <v>275</v>
      </c>
      <c r="D148" s="0" t="s">
        <v>276</v>
      </c>
      <c r="E148" s="0" t="s">
        <v>50</v>
      </c>
      <c r="F148" s="0" t="s">
        <v>2686</v>
      </c>
      <c r="G148" s="0" t="s">
        <v>50</v>
      </c>
      <c r="H148" s="0" t="s">
        <v>50</v>
      </c>
      <c r="I148" s="0" t="s">
        <v>50</v>
      </c>
      <c r="J148" s="0" t="s">
        <v>50</v>
      </c>
      <c r="K148" s="0" t="s">
        <v>50</v>
      </c>
      <c r="L148" s="0" t="s">
        <v>50</v>
      </c>
      <c r="M148" s="0" t="s">
        <v>50</v>
      </c>
      <c r="N148" s="0" t="s">
        <v>50</v>
      </c>
      <c r="O148" s="0" t="s">
        <v>50</v>
      </c>
      <c r="P148" s="0" t="s">
        <v>50</v>
      </c>
    </row>
    <row r="149" customFormat="false" ht="15" hidden="false" customHeight="false" outlineLevel="0" collapsed="false">
      <c r="A149" s="0" t="s">
        <v>2687</v>
      </c>
      <c r="B149" s="0" t="s">
        <v>1713</v>
      </c>
      <c r="C149" s="0" t="s">
        <v>1714</v>
      </c>
      <c r="D149" s="0" t="s">
        <v>1715</v>
      </c>
      <c r="E149" s="0" t="s">
        <v>50</v>
      </c>
      <c r="F149" s="0" t="s">
        <v>2688</v>
      </c>
      <c r="G149" s="0" t="s">
        <v>2689</v>
      </c>
      <c r="H149" s="0" t="s">
        <v>2690</v>
      </c>
      <c r="I149" s="0" t="s">
        <v>50</v>
      </c>
      <c r="J149" s="0" t="s">
        <v>50</v>
      </c>
      <c r="K149" s="0" t="s">
        <v>50</v>
      </c>
      <c r="L149" s="0" t="s">
        <v>50</v>
      </c>
      <c r="M149" s="0" t="s">
        <v>50</v>
      </c>
      <c r="N149" s="0" t="s">
        <v>50</v>
      </c>
      <c r="O149" s="0" t="s">
        <v>50</v>
      </c>
      <c r="P149" s="0" t="s">
        <v>50</v>
      </c>
    </row>
    <row r="150" customFormat="false" ht="15" hidden="false" customHeight="false" outlineLevel="0" collapsed="false">
      <c r="A150" s="0" t="s">
        <v>2691</v>
      </c>
      <c r="B150" s="0" t="s">
        <v>1610</v>
      </c>
      <c r="C150" s="0" t="s">
        <v>1611</v>
      </c>
      <c r="D150" s="0" t="s">
        <v>508</v>
      </c>
      <c r="E150" s="0" t="s">
        <v>50</v>
      </c>
      <c r="F150" s="0" t="s">
        <v>2692</v>
      </c>
      <c r="G150" s="0" t="s">
        <v>50</v>
      </c>
      <c r="H150" s="0" t="s">
        <v>50</v>
      </c>
      <c r="I150" s="0" t="s">
        <v>50</v>
      </c>
      <c r="J150" s="0" t="s">
        <v>50</v>
      </c>
      <c r="K150" s="0" t="s">
        <v>50</v>
      </c>
      <c r="L150" s="0" t="s">
        <v>50</v>
      </c>
      <c r="M150" s="0" t="s">
        <v>50</v>
      </c>
      <c r="N150" s="0" t="s">
        <v>50</v>
      </c>
      <c r="O150" s="0" t="s">
        <v>50</v>
      </c>
      <c r="P150" s="0" t="s">
        <v>50</v>
      </c>
    </row>
    <row r="151" customFormat="false" ht="15" hidden="false" customHeight="false" outlineLevel="0" collapsed="false">
      <c r="A151" s="0" t="s">
        <v>2693</v>
      </c>
      <c r="B151" s="0" t="s">
        <v>506</v>
      </c>
      <c r="C151" s="0" t="s">
        <v>507</v>
      </c>
      <c r="D151" s="0" t="s">
        <v>508</v>
      </c>
      <c r="E151" s="0" t="s">
        <v>50</v>
      </c>
      <c r="F151" s="0" t="s">
        <v>50</v>
      </c>
      <c r="G151" s="0" t="s">
        <v>50</v>
      </c>
      <c r="H151" s="0" t="s">
        <v>50</v>
      </c>
      <c r="I151" s="0" t="s">
        <v>50</v>
      </c>
      <c r="J151" s="0" t="s">
        <v>50</v>
      </c>
      <c r="K151" s="0" t="s">
        <v>50</v>
      </c>
      <c r="L151" s="0" t="s">
        <v>50</v>
      </c>
      <c r="M151" s="0" t="s">
        <v>50</v>
      </c>
      <c r="N151" s="0" t="s">
        <v>50</v>
      </c>
      <c r="O151" s="0" t="s">
        <v>50</v>
      </c>
      <c r="P151" s="0" t="s">
        <v>50</v>
      </c>
    </row>
    <row r="152" customFormat="false" ht="15" hidden="false" customHeight="false" outlineLevel="0" collapsed="false">
      <c r="A152" s="0" t="s">
        <v>2694</v>
      </c>
      <c r="B152" s="0" t="s">
        <v>1996</v>
      </c>
      <c r="C152" s="0" t="s">
        <v>1997</v>
      </c>
      <c r="D152" s="0" t="s">
        <v>1998</v>
      </c>
      <c r="E152" s="0" t="s">
        <v>50</v>
      </c>
      <c r="F152" s="0" t="s">
        <v>50</v>
      </c>
      <c r="G152" s="0" t="s">
        <v>2695</v>
      </c>
      <c r="H152" s="0" t="s">
        <v>2696</v>
      </c>
      <c r="I152" s="0" t="s">
        <v>50</v>
      </c>
      <c r="J152" s="0" t="s">
        <v>50</v>
      </c>
      <c r="K152" s="0" t="s">
        <v>50</v>
      </c>
      <c r="L152" s="0" t="s">
        <v>50</v>
      </c>
      <c r="M152" s="0" t="s">
        <v>50</v>
      </c>
      <c r="N152" s="0" t="s">
        <v>50</v>
      </c>
      <c r="O152" s="0" t="s">
        <v>50</v>
      </c>
      <c r="P152" s="0" t="s">
        <v>50</v>
      </c>
    </row>
    <row r="153" customFormat="false" ht="15" hidden="false" customHeight="false" outlineLevel="0" collapsed="false">
      <c r="A153" s="0" t="s">
        <v>2697</v>
      </c>
      <c r="B153" s="0" t="s">
        <v>50</v>
      </c>
      <c r="C153" s="0" t="s">
        <v>890</v>
      </c>
      <c r="D153" s="0" t="s">
        <v>50</v>
      </c>
      <c r="E153" s="0" t="s">
        <v>50</v>
      </c>
      <c r="F153" s="0" t="s">
        <v>50</v>
      </c>
      <c r="G153" s="0" t="s">
        <v>50</v>
      </c>
      <c r="H153" s="0" t="s">
        <v>50</v>
      </c>
      <c r="I153" s="0" t="s">
        <v>50</v>
      </c>
      <c r="J153" s="0" t="s">
        <v>50</v>
      </c>
      <c r="K153" s="0" t="s">
        <v>50</v>
      </c>
      <c r="L153" s="0" t="s">
        <v>50</v>
      </c>
      <c r="M153" s="0" t="s">
        <v>50</v>
      </c>
      <c r="N153" s="0" t="s">
        <v>50</v>
      </c>
      <c r="O153" s="0" t="s">
        <v>50</v>
      </c>
      <c r="P153" s="0" t="s">
        <v>50</v>
      </c>
    </row>
    <row r="154" customFormat="false" ht="15" hidden="false" customHeight="false" outlineLevel="0" collapsed="false">
      <c r="A154" s="0" t="s">
        <v>2698</v>
      </c>
      <c r="B154" s="0" t="s">
        <v>2040</v>
      </c>
      <c r="C154" s="0" t="s">
        <v>2041</v>
      </c>
      <c r="D154" s="0" t="s">
        <v>2042</v>
      </c>
      <c r="E154" s="0" t="s">
        <v>2043</v>
      </c>
      <c r="F154" s="0" t="s">
        <v>2699</v>
      </c>
      <c r="G154" s="0" t="s">
        <v>2700</v>
      </c>
      <c r="H154" s="0" t="s">
        <v>2701</v>
      </c>
      <c r="I154" s="0" t="str">
        <f aca="false">HYPERLINK("https://omim.org/entry/200500", "200500")</f>
        <v>200500</v>
      </c>
      <c r="J154" s="0" t="str">
        <f aca="false">HYPERLINK("https://omim.org/entry/186200", "186200")</f>
        <v>186200</v>
      </c>
      <c r="K154" s="0" t="str">
        <f aca="false">HYPERLINK("https://omim.org/entry/188740", "188740")</f>
        <v>188740</v>
      </c>
      <c r="L154" s="0" t="str">
        <f aca="false">HYPERLINK("https://omim.org/entry/135750", "135750")</f>
        <v>135750</v>
      </c>
      <c r="M154" s="0" t="s">
        <v>50</v>
      </c>
      <c r="N154" s="0" t="s">
        <v>50</v>
      </c>
      <c r="O154" s="0" t="s">
        <v>50</v>
      </c>
      <c r="P154" s="0" t="s">
        <v>50</v>
      </c>
    </row>
    <row r="155" customFormat="false" ht="15" hidden="false" customHeight="false" outlineLevel="0" collapsed="false">
      <c r="A155" s="0" t="s">
        <v>2702</v>
      </c>
      <c r="B155" s="0" t="s">
        <v>206</v>
      </c>
      <c r="C155" s="0" t="s">
        <v>207</v>
      </c>
      <c r="D155" s="0" t="s">
        <v>208</v>
      </c>
      <c r="E155" s="0" t="s">
        <v>209</v>
      </c>
      <c r="F155" s="0" t="s">
        <v>50</v>
      </c>
      <c r="G155" s="0" t="s">
        <v>2703</v>
      </c>
      <c r="H155" s="0" t="s">
        <v>2704</v>
      </c>
      <c r="I155" s="0" t="str">
        <f aca="false">HYPERLINK("https://omim.org/entry/608709", "608709")</f>
        <v>608709</v>
      </c>
      <c r="J155" s="0" t="str">
        <f aca="false">HYPERLINK("https://omim.org/entry/616540", "616540")</f>
        <v>616540</v>
      </c>
      <c r="K155" s="0" t="s">
        <v>50</v>
      </c>
      <c r="L155" s="0" t="s">
        <v>50</v>
      </c>
      <c r="M155" s="0" t="s">
        <v>50</v>
      </c>
      <c r="N155" s="0" t="s">
        <v>50</v>
      </c>
      <c r="O155" s="0" t="s">
        <v>50</v>
      </c>
      <c r="P155" s="0" t="s">
        <v>50</v>
      </c>
    </row>
    <row r="156" customFormat="false" ht="15" hidden="false" customHeight="false" outlineLevel="0" collapsed="false">
      <c r="A156" s="0" t="s">
        <v>2705</v>
      </c>
      <c r="B156" s="0" t="s">
        <v>1182</v>
      </c>
      <c r="C156" s="0" t="s">
        <v>1183</v>
      </c>
      <c r="D156" s="0" t="s">
        <v>1184</v>
      </c>
      <c r="E156" s="0" t="s">
        <v>1185</v>
      </c>
      <c r="F156" s="0" t="s">
        <v>2706</v>
      </c>
      <c r="G156" s="0" t="s">
        <v>2707</v>
      </c>
      <c r="H156" s="0" t="s">
        <v>2708</v>
      </c>
      <c r="I156" s="0" t="str">
        <f aca="false">HYPERLINK("https://omim.org/entry/609628", "609628")</f>
        <v>609628</v>
      </c>
      <c r="J156" s="0" t="s">
        <v>50</v>
      </c>
      <c r="K156" s="0" t="s">
        <v>50</v>
      </c>
      <c r="L156" s="0" t="s">
        <v>50</v>
      </c>
      <c r="M156" s="0" t="s">
        <v>50</v>
      </c>
      <c r="N156" s="0" t="s">
        <v>50</v>
      </c>
      <c r="O156" s="0" t="s">
        <v>50</v>
      </c>
      <c r="P156" s="0" t="s">
        <v>50</v>
      </c>
    </row>
    <row r="157" customFormat="false" ht="15" hidden="false" customHeight="false" outlineLevel="0" collapsed="false">
      <c r="A157" s="0" t="s">
        <v>2709</v>
      </c>
      <c r="B157" s="0" t="s">
        <v>931</v>
      </c>
      <c r="C157" s="0" t="s">
        <v>932</v>
      </c>
      <c r="D157" s="0" t="s">
        <v>933</v>
      </c>
      <c r="E157" s="0" t="s">
        <v>934</v>
      </c>
      <c r="F157" s="0" t="s">
        <v>50</v>
      </c>
      <c r="G157" s="0" t="s">
        <v>2710</v>
      </c>
      <c r="H157" s="0" t="s">
        <v>2711</v>
      </c>
      <c r="I157" s="0" t="str">
        <f aca="false">HYPERLINK("https://omim.org/entry/105200", "105200")</f>
        <v>105200</v>
      </c>
      <c r="J157" s="0" t="s">
        <v>50</v>
      </c>
      <c r="K157" s="0" t="s">
        <v>50</v>
      </c>
      <c r="L157" s="0" t="s">
        <v>50</v>
      </c>
      <c r="M157" s="0" t="s">
        <v>50</v>
      </c>
      <c r="N157" s="0" t="s">
        <v>50</v>
      </c>
      <c r="O157" s="0" t="s">
        <v>50</v>
      </c>
      <c r="P157" s="0" t="s">
        <v>50</v>
      </c>
    </row>
    <row r="158" customFormat="false" ht="15" hidden="false" customHeight="false" outlineLevel="0" collapsed="false">
      <c r="A158" s="0" t="s">
        <v>2712</v>
      </c>
      <c r="B158" s="0" t="s">
        <v>1228</v>
      </c>
      <c r="C158" s="0" t="s">
        <v>1229</v>
      </c>
      <c r="D158" s="0" t="s">
        <v>1230</v>
      </c>
      <c r="E158" s="0" t="s">
        <v>1231</v>
      </c>
      <c r="F158" s="0" t="s">
        <v>2713</v>
      </c>
      <c r="G158" s="0" t="s">
        <v>2714</v>
      </c>
      <c r="H158" s="0" t="s">
        <v>2715</v>
      </c>
      <c r="I158" s="0" t="s">
        <v>50</v>
      </c>
      <c r="J158" s="0" t="s">
        <v>50</v>
      </c>
      <c r="K158" s="0" t="s">
        <v>50</v>
      </c>
      <c r="L158" s="0" t="s">
        <v>50</v>
      </c>
      <c r="M158" s="0" t="s">
        <v>50</v>
      </c>
      <c r="N158" s="0" t="s">
        <v>50</v>
      </c>
      <c r="O158" s="0" t="s">
        <v>50</v>
      </c>
      <c r="P158" s="0" t="s">
        <v>50</v>
      </c>
    </row>
    <row r="159" customFormat="false" ht="15" hidden="false" customHeight="false" outlineLevel="0" collapsed="false">
      <c r="A159" s="0" t="s">
        <v>2716</v>
      </c>
      <c r="B159" s="0" t="s">
        <v>1838</v>
      </c>
      <c r="C159" s="0" t="s">
        <v>1839</v>
      </c>
      <c r="D159" s="0" t="s">
        <v>1840</v>
      </c>
      <c r="E159" s="0" t="s">
        <v>1841</v>
      </c>
      <c r="F159" s="0" t="s">
        <v>50</v>
      </c>
      <c r="G159" s="0" t="s">
        <v>50</v>
      </c>
      <c r="H159" s="0" t="s">
        <v>50</v>
      </c>
      <c r="I159" s="0" t="str">
        <f aca="false">HYPERLINK("https://omim.org/entry/613762", "613762")</f>
        <v>613762</v>
      </c>
      <c r="J159" s="0" t="s">
        <v>50</v>
      </c>
      <c r="K159" s="0" t="s">
        <v>50</v>
      </c>
      <c r="L159" s="0" t="s">
        <v>50</v>
      </c>
      <c r="M159" s="0" t="s">
        <v>50</v>
      </c>
      <c r="N159" s="0" t="s">
        <v>50</v>
      </c>
      <c r="O159" s="0" t="s">
        <v>50</v>
      </c>
      <c r="P159" s="0" t="s">
        <v>50</v>
      </c>
    </row>
    <row r="160" customFormat="false" ht="15" hidden="false" customHeight="false" outlineLevel="0" collapsed="false">
      <c r="A160" s="0" t="s">
        <v>2717</v>
      </c>
      <c r="B160" s="0" t="s">
        <v>2122</v>
      </c>
      <c r="C160" s="0" t="s">
        <v>2123</v>
      </c>
      <c r="D160" s="0" t="s">
        <v>2124</v>
      </c>
      <c r="E160" s="0" t="s">
        <v>50</v>
      </c>
      <c r="F160" s="0" t="s">
        <v>2718</v>
      </c>
      <c r="G160" s="0" t="s">
        <v>2719</v>
      </c>
      <c r="H160" s="0" t="s">
        <v>2720</v>
      </c>
      <c r="I160" s="0" t="s">
        <v>50</v>
      </c>
      <c r="J160" s="0" t="s">
        <v>50</v>
      </c>
      <c r="K160" s="0" t="s">
        <v>50</v>
      </c>
      <c r="L160" s="0" t="s">
        <v>50</v>
      </c>
      <c r="M160" s="0" t="s">
        <v>50</v>
      </c>
      <c r="N160" s="0" t="s">
        <v>50</v>
      </c>
      <c r="O160" s="0" t="s">
        <v>50</v>
      </c>
      <c r="P160" s="0" t="s">
        <v>50</v>
      </c>
    </row>
    <row r="161" customFormat="false" ht="15" hidden="false" customHeight="false" outlineLevel="0" collapsed="false">
      <c r="A161" s="0" t="s">
        <v>2721</v>
      </c>
      <c r="B161" s="0" t="s">
        <v>729</v>
      </c>
      <c r="C161" s="0" t="s">
        <v>730</v>
      </c>
      <c r="D161" s="0" t="s">
        <v>731</v>
      </c>
      <c r="E161" s="0" t="s">
        <v>732</v>
      </c>
      <c r="F161" s="0" t="s">
        <v>2722</v>
      </c>
      <c r="G161" s="0" t="s">
        <v>50</v>
      </c>
      <c r="H161" s="0" t="s">
        <v>50</v>
      </c>
      <c r="I161" s="0" t="s">
        <v>50</v>
      </c>
      <c r="J161" s="0" t="s">
        <v>50</v>
      </c>
      <c r="K161" s="0" t="s">
        <v>50</v>
      </c>
      <c r="L161" s="0" t="s">
        <v>50</v>
      </c>
      <c r="M161" s="0" t="s">
        <v>50</v>
      </c>
      <c r="N161" s="0" t="s">
        <v>50</v>
      </c>
      <c r="O161" s="0" t="s">
        <v>50</v>
      </c>
      <c r="P161" s="0" t="s">
        <v>50</v>
      </c>
    </row>
    <row r="162" customFormat="false" ht="15" hidden="false" customHeight="false" outlineLevel="0" collapsed="false">
      <c r="A162" s="0" t="s">
        <v>2723</v>
      </c>
      <c r="B162" s="0" t="s">
        <v>1109</v>
      </c>
      <c r="C162" s="0" t="s">
        <v>1110</v>
      </c>
      <c r="D162" s="0" t="s">
        <v>1111</v>
      </c>
      <c r="E162" s="0" t="s">
        <v>1112</v>
      </c>
      <c r="F162" s="0" t="s">
        <v>2724</v>
      </c>
      <c r="G162" s="0" t="s">
        <v>50</v>
      </c>
      <c r="H162" s="0" t="s">
        <v>50</v>
      </c>
      <c r="I162" s="0" t="str">
        <f aca="false">HYPERLINK("https://omim.org/entry/613099", "613099")</f>
        <v>613099</v>
      </c>
      <c r="J162" s="0" t="s">
        <v>50</v>
      </c>
      <c r="K162" s="0" t="s">
        <v>50</v>
      </c>
      <c r="L162" s="0" t="s">
        <v>50</v>
      </c>
      <c r="M162" s="0" t="s">
        <v>50</v>
      </c>
      <c r="N162" s="0" t="s">
        <v>50</v>
      </c>
      <c r="O162" s="0" t="s">
        <v>50</v>
      </c>
      <c r="P162" s="0" t="s">
        <v>50</v>
      </c>
    </row>
    <row r="163" customFormat="false" ht="15" hidden="false" customHeight="false" outlineLevel="0" collapsed="false">
      <c r="A163" s="0" t="s">
        <v>2725</v>
      </c>
      <c r="B163" s="0" t="s">
        <v>1849</v>
      </c>
      <c r="C163" s="0" t="s">
        <v>1850</v>
      </c>
      <c r="D163" s="0" t="s">
        <v>1851</v>
      </c>
      <c r="E163" s="0" t="s">
        <v>1852</v>
      </c>
      <c r="F163" s="0" t="s">
        <v>2726</v>
      </c>
      <c r="G163" s="0" t="s">
        <v>2727</v>
      </c>
      <c r="H163" s="0" t="s">
        <v>2728</v>
      </c>
      <c r="I163" s="0" t="str">
        <f aca="false">HYPERLINK("https://omim.org/entry/613443", "613443")</f>
        <v>613443</v>
      </c>
      <c r="J163" s="0" t="s">
        <v>50</v>
      </c>
      <c r="K163" s="0" t="s">
        <v>50</v>
      </c>
      <c r="L163" s="0" t="s">
        <v>50</v>
      </c>
      <c r="M163" s="0" t="s">
        <v>50</v>
      </c>
      <c r="N163" s="0" t="s">
        <v>50</v>
      </c>
      <c r="O163" s="0" t="s">
        <v>50</v>
      </c>
      <c r="P163" s="0" t="s">
        <v>50</v>
      </c>
    </row>
    <row r="164" customFormat="false" ht="15" hidden="false" customHeight="false" outlineLevel="0" collapsed="false">
      <c r="A164" s="0" t="s">
        <v>2729</v>
      </c>
      <c r="B164" s="0" t="s">
        <v>50</v>
      </c>
      <c r="C164" s="0" t="s">
        <v>2730</v>
      </c>
      <c r="D164" s="0" t="s">
        <v>50</v>
      </c>
      <c r="E164" s="0" t="s">
        <v>50</v>
      </c>
      <c r="F164" s="0" t="s">
        <v>50</v>
      </c>
      <c r="G164" s="0" t="s">
        <v>50</v>
      </c>
      <c r="H164" s="0" t="s">
        <v>50</v>
      </c>
      <c r="I164" s="0" t="s">
        <v>50</v>
      </c>
      <c r="J164" s="0" t="s">
        <v>50</v>
      </c>
      <c r="K164" s="0" t="s">
        <v>50</v>
      </c>
      <c r="L164" s="0" t="s">
        <v>50</v>
      </c>
      <c r="M164" s="0" t="s">
        <v>50</v>
      </c>
      <c r="N164" s="0" t="s">
        <v>50</v>
      </c>
      <c r="O164" s="0" t="s">
        <v>50</v>
      </c>
      <c r="P164" s="0" t="s">
        <v>50</v>
      </c>
    </row>
    <row r="165" customFormat="false" ht="15" hidden="false" customHeight="false" outlineLevel="0" collapsed="false">
      <c r="A165" s="0" t="s">
        <v>2731</v>
      </c>
      <c r="B165" s="0" t="s">
        <v>50</v>
      </c>
      <c r="C165" s="0" t="s">
        <v>2732</v>
      </c>
      <c r="D165" s="0" t="s">
        <v>50</v>
      </c>
      <c r="E165" s="0" t="s">
        <v>50</v>
      </c>
      <c r="F165" s="0" t="s">
        <v>50</v>
      </c>
      <c r="G165" s="0" t="s">
        <v>50</v>
      </c>
      <c r="H165" s="0" t="s">
        <v>50</v>
      </c>
      <c r="I165" s="0" t="s">
        <v>50</v>
      </c>
      <c r="J165" s="0" t="s">
        <v>50</v>
      </c>
      <c r="K165" s="0" t="s">
        <v>50</v>
      </c>
      <c r="L165" s="0" t="s">
        <v>50</v>
      </c>
      <c r="M165" s="0" t="s">
        <v>50</v>
      </c>
      <c r="N165" s="0" t="s">
        <v>50</v>
      </c>
      <c r="O165" s="0" t="s">
        <v>50</v>
      </c>
      <c r="P165" s="0" t="s">
        <v>50</v>
      </c>
    </row>
    <row r="166" customFormat="false" ht="15" hidden="false" customHeight="false" outlineLevel="0" collapsed="false">
      <c r="A166" s="0" t="s">
        <v>2733</v>
      </c>
      <c r="B166" s="0" t="s">
        <v>439</v>
      </c>
      <c r="C166" s="0" t="s">
        <v>440</v>
      </c>
      <c r="D166" s="0" t="s">
        <v>441</v>
      </c>
      <c r="E166" s="0" t="s">
        <v>50</v>
      </c>
      <c r="F166" s="0" t="s">
        <v>2734</v>
      </c>
      <c r="G166" s="0" t="s">
        <v>2735</v>
      </c>
      <c r="H166" s="0" t="s">
        <v>2736</v>
      </c>
      <c r="I166" s="0" t="s">
        <v>50</v>
      </c>
      <c r="J166" s="0" t="s">
        <v>50</v>
      </c>
      <c r="K166" s="0" t="s">
        <v>50</v>
      </c>
      <c r="L166" s="0" t="s">
        <v>50</v>
      </c>
      <c r="M166" s="0" t="s">
        <v>50</v>
      </c>
      <c r="N166" s="0" t="s">
        <v>50</v>
      </c>
      <c r="O166" s="0" t="s">
        <v>50</v>
      </c>
      <c r="P166" s="0" t="s">
        <v>50</v>
      </c>
    </row>
    <row r="167" customFormat="false" ht="15" hidden="false" customHeight="false" outlineLevel="0" collapsed="false">
      <c r="A167" s="0" t="s">
        <v>2737</v>
      </c>
      <c r="B167" s="0" t="s">
        <v>491</v>
      </c>
      <c r="C167" s="0" t="s">
        <v>492</v>
      </c>
      <c r="D167" s="0" t="s">
        <v>493</v>
      </c>
      <c r="E167" s="0" t="s">
        <v>50</v>
      </c>
      <c r="F167" s="0" t="s">
        <v>50</v>
      </c>
      <c r="G167" s="0" t="s">
        <v>50</v>
      </c>
      <c r="H167" s="0" t="s">
        <v>50</v>
      </c>
      <c r="I167" s="0" t="s">
        <v>50</v>
      </c>
      <c r="J167" s="0" t="s">
        <v>50</v>
      </c>
      <c r="K167" s="0" t="s">
        <v>50</v>
      </c>
      <c r="L167" s="0" t="s">
        <v>50</v>
      </c>
      <c r="M167" s="0" t="s">
        <v>50</v>
      </c>
      <c r="N167" s="0" t="s">
        <v>50</v>
      </c>
      <c r="O167" s="0" t="s">
        <v>50</v>
      </c>
      <c r="P167" s="0" t="s">
        <v>50</v>
      </c>
    </row>
    <row r="168" customFormat="false" ht="15" hidden="false" customHeight="false" outlineLevel="0" collapsed="false">
      <c r="A168" s="0" t="s">
        <v>2738</v>
      </c>
      <c r="B168" s="0" t="s">
        <v>1593</v>
      </c>
      <c r="C168" s="0" t="s">
        <v>1594</v>
      </c>
      <c r="D168" s="0" t="s">
        <v>1595</v>
      </c>
      <c r="E168" s="0" t="s">
        <v>50</v>
      </c>
      <c r="F168" s="0" t="s">
        <v>2739</v>
      </c>
      <c r="G168" s="0" t="s">
        <v>50</v>
      </c>
      <c r="H168" s="0" t="s">
        <v>50</v>
      </c>
      <c r="I168" s="0" t="s">
        <v>50</v>
      </c>
      <c r="J168" s="0" t="s">
        <v>50</v>
      </c>
      <c r="K168" s="0" t="s">
        <v>50</v>
      </c>
      <c r="L168" s="0" t="s">
        <v>50</v>
      </c>
      <c r="M168" s="0" t="s">
        <v>50</v>
      </c>
      <c r="N168" s="0" t="s">
        <v>50</v>
      </c>
      <c r="O168" s="0" t="s">
        <v>50</v>
      </c>
      <c r="P168" s="0" t="s">
        <v>50</v>
      </c>
    </row>
    <row r="169" customFormat="false" ht="15" hidden="false" customHeight="false" outlineLevel="0" collapsed="false">
      <c r="A169" s="0" t="s">
        <v>2740</v>
      </c>
      <c r="B169" s="0" t="s">
        <v>544</v>
      </c>
      <c r="C169" s="0" t="s">
        <v>545</v>
      </c>
      <c r="D169" s="0" t="s">
        <v>546</v>
      </c>
      <c r="E169" s="0" t="s">
        <v>50</v>
      </c>
      <c r="F169" s="0" t="s">
        <v>50</v>
      </c>
      <c r="G169" s="0" t="s">
        <v>2741</v>
      </c>
      <c r="H169" s="0" t="s">
        <v>50</v>
      </c>
      <c r="I169" s="0" t="s">
        <v>50</v>
      </c>
      <c r="J169" s="0" t="s">
        <v>50</v>
      </c>
      <c r="K169" s="0" t="s">
        <v>50</v>
      </c>
      <c r="L169" s="0" t="s">
        <v>50</v>
      </c>
      <c r="M169" s="0" t="s">
        <v>50</v>
      </c>
      <c r="N169" s="0" t="s">
        <v>50</v>
      </c>
      <c r="O169" s="0" t="s">
        <v>50</v>
      </c>
      <c r="P169" s="0" t="s">
        <v>50</v>
      </c>
    </row>
    <row r="170" customFormat="false" ht="15" hidden="false" customHeight="false" outlineLevel="0" collapsed="false">
      <c r="A170" s="0" t="s">
        <v>2742</v>
      </c>
      <c r="B170" s="0" t="s">
        <v>846</v>
      </c>
      <c r="C170" s="0" t="s">
        <v>847</v>
      </c>
      <c r="D170" s="0" t="s">
        <v>848</v>
      </c>
      <c r="E170" s="0" t="s">
        <v>50</v>
      </c>
      <c r="F170" s="0" t="s">
        <v>50</v>
      </c>
      <c r="G170" s="0" t="s">
        <v>2743</v>
      </c>
      <c r="H170" s="0" t="s">
        <v>2744</v>
      </c>
      <c r="I170" s="0" t="s">
        <v>50</v>
      </c>
      <c r="J170" s="0" t="s">
        <v>50</v>
      </c>
      <c r="K170" s="0" t="s">
        <v>50</v>
      </c>
      <c r="L170" s="0" t="s">
        <v>50</v>
      </c>
      <c r="M170" s="0" t="s">
        <v>50</v>
      </c>
      <c r="N170" s="0" t="s">
        <v>50</v>
      </c>
      <c r="O170" s="0" t="s">
        <v>50</v>
      </c>
      <c r="P170" s="0" t="s">
        <v>50</v>
      </c>
    </row>
    <row r="171" customFormat="false" ht="15" hidden="false" customHeight="false" outlineLevel="0" collapsed="false">
      <c r="A171" s="0" t="s">
        <v>2745</v>
      </c>
      <c r="B171" s="0" t="s">
        <v>1795</v>
      </c>
      <c r="C171" s="0" t="s">
        <v>1796</v>
      </c>
      <c r="D171" s="0" t="s">
        <v>1797</v>
      </c>
      <c r="E171" s="0" t="s">
        <v>1798</v>
      </c>
      <c r="F171" s="0" t="s">
        <v>2746</v>
      </c>
      <c r="G171" s="0" t="s">
        <v>2747</v>
      </c>
      <c r="H171" s="0" t="s">
        <v>2748</v>
      </c>
      <c r="I171" s="0" t="str">
        <f aca="false">HYPERLINK("https://omim.org/entry/200100", "200100")</f>
        <v>200100</v>
      </c>
      <c r="J171" s="0" t="s">
        <v>50</v>
      </c>
      <c r="K171" s="0" t="s">
        <v>50</v>
      </c>
      <c r="L171" s="0" t="s">
        <v>50</v>
      </c>
      <c r="M171" s="0" t="s">
        <v>50</v>
      </c>
      <c r="N171" s="0" t="s">
        <v>50</v>
      </c>
      <c r="O171" s="0" t="s">
        <v>50</v>
      </c>
      <c r="P171" s="0" t="s">
        <v>50</v>
      </c>
    </row>
    <row r="172" customFormat="false" ht="15" hidden="false" customHeight="false" outlineLevel="0" collapsed="false">
      <c r="A172" s="0" t="s">
        <v>2749</v>
      </c>
      <c r="B172" s="0" t="s">
        <v>50</v>
      </c>
      <c r="C172" s="0" t="s">
        <v>1256</v>
      </c>
      <c r="D172" s="0" t="s">
        <v>1257</v>
      </c>
      <c r="E172" s="0" t="s">
        <v>50</v>
      </c>
      <c r="F172" s="0" t="s">
        <v>2750</v>
      </c>
      <c r="G172" s="0" t="s">
        <v>50</v>
      </c>
      <c r="H172" s="0" t="s">
        <v>50</v>
      </c>
      <c r="I172" s="0" t="s">
        <v>50</v>
      </c>
      <c r="J172" s="0" t="s">
        <v>50</v>
      </c>
      <c r="K172" s="0" t="s">
        <v>50</v>
      </c>
      <c r="L172" s="0" t="s">
        <v>50</v>
      </c>
      <c r="M172" s="0" t="s">
        <v>50</v>
      </c>
      <c r="N172" s="0" t="s">
        <v>50</v>
      </c>
      <c r="O172" s="0" t="s">
        <v>50</v>
      </c>
      <c r="P172" s="0" t="s">
        <v>50</v>
      </c>
    </row>
    <row r="173" customFormat="false" ht="15" hidden="false" customHeight="false" outlineLevel="0" collapsed="false">
      <c r="A173" s="0" t="s">
        <v>2751</v>
      </c>
      <c r="B173" s="0" t="s">
        <v>54</v>
      </c>
      <c r="C173" s="0" t="s">
        <v>967</v>
      </c>
      <c r="D173" s="0" t="s">
        <v>968</v>
      </c>
      <c r="E173" s="0" t="s">
        <v>50</v>
      </c>
      <c r="F173" s="0" t="s">
        <v>2752</v>
      </c>
      <c r="G173" s="0" t="s">
        <v>2753</v>
      </c>
      <c r="H173" s="0" t="s">
        <v>2754</v>
      </c>
      <c r="I173" s="0" t="s">
        <v>50</v>
      </c>
      <c r="J173" s="0" t="s">
        <v>50</v>
      </c>
      <c r="K173" s="0" t="s">
        <v>50</v>
      </c>
      <c r="L173" s="0" t="s">
        <v>50</v>
      </c>
      <c r="M173" s="0" t="s">
        <v>50</v>
      </c>
      <c r="N173" s="0" t="s">
        <v>50</v>
      </c>
      <c r="O173" s="0" t="s">
        <v>50</v>
      </c>
      <c r="P173" s="0" t="s">
        <v>50</v>
      </c>
    </row>
    <row r="174" customFormat="false" ht="15" hidden="false" customHeight="false" outlineLevel="0" collapsed="false">
      <c r="A174" s="0" t="s">
        <v>2755</v>
      </c>
      <c r="B174" s="0" t="s">
        <v>1646</v>
      </c>
      <c r="C174" s="0" t="s">
        <v>1647</v>
      </c>
      <c r="D174" s="0" t="s">
        <v>1648</v>
      </c>
      <c r="E174" s="0" t="s">
        <v>1649</v>
      </c>
      <c r="F174" s="0" t="s">
        <v>2756</v>
      </c>
      <c r="G174" s="0" t="s">
        <v>2757</v>
      </c>
      <c r="H174" s="0" t="s">
        <v>2758</v>
      </c>
      <c r="I174" s="0" t="str">
        <f aca="false">HYPERLINK("https://omim.org/entry/155100", "155100")</f>
        <v>155100</v>
      </c>
      <c r="J174" s="0" t="str">
        <f aca="false">HYPERLINK("https://omim.org/entry/605249", "605249")</f>
        <v>605249</v>
      </c>
      <c r="K174" s="0" t="str">
        <f aca="false">HYPERLINK("https://omim.org/entry/153640", "153640")</f>
        <v>153640</v>
      </c>
      <c r="L174" s="0" t="str">
        <f aca="false">HYPERLINK("https://omim.org/entry/153650", "153650")</f>
        <v>153650</v>
      </c>
      <c r="M174" s="0" t="str">
        <f aca="false">HYPERLINK("https://omim.org/entry/153650", "153650")</f>
        <v>153650</v>
      </c>
      <c r="N174" s="0" t="str">
        <f aca="false">HYPERLINK("https://omim.org/entry/603622", "603622")</f>
        <v>603622</v>
      </c>
      <c r="O174" s="0" t="str">
        <f aca="false">HYPERLINK("https://omim.org/entry/600208", "600208")</f>
        <v>600208</v>
      </c>
      <c r="P174" s="0" t="s">
        <v>50</v>
      </c>
    </row>
    <row r="175" customFormat="false" ht="15" hidden="false" customHeight="false" outlineLevel="0" collapsed="false">
      <c r="A175" s="0" t="s">
        <v>2759</v>
      </c>
      <c r="B175" s="0" t="s">
        <v>1833</v>
      </c>
      <c r="C175" s="0" t="s">
        <v>1834</v>
      </c>
      <c r="D175" s="0" t="s">
        <v>1835</v>
      </c>
      <c r="E175" s="0" t="s">
        <v>50</v>
      </c>
      <c r="F175" s="0" t="s">
        <v>2760</v>
      </c>
      <c r="G175" s="0" t="s">
        <v>2761</v>
      </c>
      <c r="H175" s="0" t="s">
        <v>2762</v>
      </c>
      <c r="I175" s="0" t="s">
        <v>50</v>
      </c>
      <c r="J175" s="0" t="s">
        <v>50</v>
      </c>
      <c r="K175" s="0" t="s">
        <v>50</v>
      </c>
      <c r="L175" s="0" t="s">
        <v>50</v>
      </c>
      <c r="M175" s="0" t="s">
        <v>50</v>
      </c>
      <c r="N175" s="0" t="s">
        <v>50</v>
      </c>
      <c r="O175" s="0" t="s">
        <v>50</v>
      </c>
      <c r="P175" s="0" t="s">
        <v>50</v>
      </c>
    </row>
    <row r="176" customFormat="false" ht="15" hidden="false" customHeight="false" outlineLevel="0" collapsed="false">
      <c r="A176" s="0" t="s">
        <v>2763</v>
      </c>
      <c r="B176" s="0" t="s">
        <v>1637</v>
      </c>
      <c r="C176" s="0" t="s">
        <v>1638</v>
      </c>
      <c r="D176" s="0" t="s">
        <v>1639</v>
      </c>
      <c r="E176" s="0" t="s">
        <v>50</v>
      </c>
      <c r="F176" s="0" t="s">
        <v>2764</v>
      </c>
      <c r="G176" s="0" t="s">
        <v>2765</v>
      </c>
      <c r="H176" s="0" t="s">
        <v>2410</v>
      </c>
      <c r="I176" s="0" t="s">
        <v>50</v>
      </c>
      <c r="J176" s="0" t="s">
        <v>50</v>
      </c>
      <c r="K176" s="0" t="s">
        <v>50</v>
      </c>
      <c r="L176" s="0" t="s">
        <v>50</v>
      </c>
      <c r="M176" s="0" t="s">
        <v>50</v>
      </c>
      <c r="N176" s="0" t="s">
        <v>50</v>
      </c>
      <c r="O176" s="0" t="s">
        <v>50</v>
      </c>
      <c r="P176" s="0" t="s">
        <v>50</v>
      </c>
    </row>
    <row r="177" customFormat="false" ht="15" hidden="false" customHeight="false" outlineLevel="0" collapsed="false">
      <c r="A177" s="0" t="s">
        <v>2766</v>
      </c>
      <c r="B177" s="0" t="s">
        <v>1117</v>
      </c>
      <c r="C177" s="0" t="s">
        <v>1118</v>
      </c>
      <c r="D177" s="0" t="s">
        <v>1119</v>
      </c>
      <c r="E177" s="0" t="s">
        <v>50</v>
      </c>
      <c r="F177" s="0" t="s">
        <v>50</v>
      </c>
      <c r="G177" s="0" t="s">
        <v>2767</v>
      </c>
      <c r="H177" s="0" t="s">
        <v>2768</v>
      </c>
      <c r="I177" s="0" t="s">
        <v>50</v>
      </c>
      <c r="J177" s="0" t="s">
        <v>50</v>
      </c>
      <c r="K177" s="0" t="s">
        <v>50</v>
      </c>
      <c r="L177" s="0" t="s">
        <v>50</v>
      </c>
      <c r="M177" s="0" t="s">
        <v>50</v>
      </c>
      <c r="N177" s="0" t="s">
        <v>50</v>
      </c>
      <c r="O177" s="0" t="s">
        <v>50</v>
      </c>
      <c r="P177" s="0" t="s">
        <v>50</v>
      </c>
    </row>
    <row r="178" customFormat="false" ht="15" hidden="false" customHeight="false" outlineLevel="0" collapsed="false">
      <c r="A178" s="0" t="s">
        <v>2769</v>
      </c>
      <c r="B178" s="0" t="s">
        <v>285</v>
      </c>
      <c r="C178" s="0" t="s">
        <v>2770</v>
      </c>
      <c r="D178" s="0" t="s">
        <v>287</v>
      </c>
      <c r="E178" s="0" t="s">
        <v>288</v>
      </c>
      <c r="F178" s="0" t="s">
        <v>50</v>
      </c>
      <c r="G178" s="0" t="s">
        <v>2771</v>
      </c>
      <c r="H178" s="0" t="s">
        <v>2772</v>
      </c>
      <c r="I178" s="0" t="str">
        <f aca="false">HYPERLINK("https://omim.org/entry/251850", "251850")</f>
        <v>251850</v>
      </c>
      <c r="J178" s="0" t="s">
        <v>50</v>
      </c>
      <c r="K178" s="0" t="s">
        <v>50</v>
      </c>
      <c r="L178" s="0" t="s">
        <v>50</v>
      </c>
      <c r="M178" s="0" t="s">
        <v>50</v>
      </c>
      <c r="N178" s="0" t="s">
        <v>50</v>
      </c>
      <c r="O178" s="0" t="s">
        <v>50</v>
      </c>
      <c r="P178" s="0" t="s">
        <v>50</v>
      </c>
    </row>
    <row r="179" customFormat="false" ht="15" hidden="false" customHeight="false" outlineLevel="0" collapsed="false">
      <c r="A179" s="0" t="s">
        <v>2773</v>
      </c>
      <c r="B179" s="0" t="s">
        <v>1473</v>
      </c>
      <c r="C179" s="0" t="s">
        <v>1474</v>
      </c>
      <c r="D179" s="0" t="s">
        <v>1475</v>
      </c>
      <c r="E179" s="0" t="s">
        <v>50</v>
      </c>
      <c r="F179" s="0" t="s">
        <v>50</v>
      </c>
      <c r="G179" s="0" t="s">
        <v>2774</v>
      </c>
      <c r="H179" s="0" t="s">
        <v>2775</v>
      </c>
      <c r="I179" s="0" t="s">
        <v>50</v>
      </c>
      <c r="J179" s="0" t="s">
        <v>50</v>
      </c>
      <c r="K179" s="0" t="s">
        <v>50</v>
      </c>
      <c r="L179" s="0" t="s">
        <v>50</v>
      </c>
      <c r="M179" s="0" t="s">
        <v>50</v>
      </c>
      <c r="N179" s="0" t="s">
        <v>50</v>
      </c>
      <c r="O179" s="0" t="s">
        <v>50</v>
      </c>
      <c r="P179" s="0" t="s">
        <v>50</v>
      </c>
    </row>
    <row r="180" customFormat="false" ht="15" hidden="false" customHeight="false" outlineLevel="0" collapsed="false">
      <c r="A180" s="0" t="s">
        <v>2776</v>
      </c>
      <c r="B180" s="0" t="s">
        <v>1082</v>
      </c>
      <c r="C180" s="0" t="s">
        <v>1083</v>
      </c>
      <c r="D180" s="0" t="s">
        <v>1084</v>
      </c>
      <c r="E180" s="0" t="s">
        <v>50</v>
      </c>
      <c r="F180" s="0" t="s">
        <v>2777</v>
      </c>
      <c r="G180" s="0" t="s">
        <v>2778</v>
      </c>
      <c r="H180" s="0" t="s">
        <v>2779</v>
      </c>
      <c r="I180" s="0" t="s">
        <v>50</v>
      </c>
      <c r="J180" s="0" t="s">
        <v>50</v>
      </c>
      <c r="K180" s="0" t="s">
        <v>50</v>
      </c>
      <c r="L180" s="0" t="s">
        <v>50</v>
      </c>
      <c r="M180" s="0" t="s">
        <v>50</v>
      </c>
      <c r="N180" s="0" t="s">
        <v>50</v>
      </c>
      <c r="O180" s="0" t="s">
        <v>50</v>
      </c>
      <c r="P180" s="0" t="s">
        <v>50</v>
      </c>
    </row>
    <row r="181" customFormat="false" ht="15" hidden="false" customHeight="false" outlineLevel="0" collapsed="false">
      <c r="A181" s="0" t="s">
        <v>2780</v>
      </c>
      <c r="B181" s="0" t="s">
        <v>1534</v>
      </c>
      <c r="C181" s="0" t="s">
        <v>1535</v>
      </c>
      <c r="D181" s="0" t="s">
        <v>50</v>
      </c>
      <c r="E181" s="0" t="s">
        <v>50</v>
      </c>
      <c r="F181" s="0" t="s">
        <v>50</v>
      </c>
      <c r="G181" s="0" t="s">
        <v>2781</v>
      </c>
      <c r="H181" s="0" t="s">
        <v>2782</v>
      </c>
      <c r="I181" s="0" t="s">
        <v>50</v>
      </c>
      <c r="J181" s="0" t="s">
        <v>50</v>
      </c>
      <c r="K181" s="0" t="s">
        <v>50</v>
      </c>
      <c r="L181" s="0" t="s">
        <v>50</v>
      </c>
      <c r="M181" s="0" t="s">
        <v>50</v>
      </c>
      <c r="N181" s="0" t="s">
        <v>50</v>
      </c>
      <c r="O181" s="0" t="s">
        <v>50</v>
      </c>
      <c r="P181" s="0" t="s">
        <v>50</v>
      </c>
    </row>
    <row r="182" customFormat="false" ht="15" hidden="false" customHeight="false" outlineLevel="0" collapsed="false">
      <c r="A182" s="0" t="s">
        <v>2783</v>
      </c>
      <c r="B182" s="0" t="s">
        <v>363</v>
      </c>
      <c r="C182" s="0" t="s">
        <v>364</v>
      </c>
      <c r="D182" s="0" t="s">
        <v>50</v>
      </c>
      <c r="E182" s="0" t="s">
        <v>365</v>
      </c>
      <c r="F182" s="0" t="s">
        <v>50</v>
      </c>
      <c r="G182" s="0" t="s">
        <v>2784</v>
      </c>
      <c r="H182" s="0" t="s">
        <v>2785</v>
      </c>
      <c r="I182" s="0" t="str">
        <f aca="false">HYPERLINK("https://omim.org/entry/616239", "616239")</f>
        <v>616239</v>
      </c>
      <c r="J182" s="0" t="str">
        <f aca="false">HYPERLINK("https://omim.org/entry/256000", "256000")</f>
        <v>256000</v>
      </c>
      <c r="K182" s="0" t="s">
        <v>50</v>
      </c>
      <c r="L182" s="0" t="s">
        <v>50</v>
      </c>
      <c r="M182" s="0" t="s">
        <v>50</v>
      </c>
      <c r="N182" s="0" t="s">
        <v>50</v>
      </c>
      <c r="O182" s="0" t="s">
        <v>50</v>
      </c>
      <c r="P182" s="0" t="s">
        <v>50</v>
      </c>
    </row>
    <row r="183" customFormat="false" ht="15" hidden="false" customHeight="false" outlineLevel="0" collapsed="false">
      <c r="A183" s="0" t="s">
        <v>2786</v>
      </c>
      <c r="B183" s="0" t="s">
        <v>254</v>
      </c>
      <c r="C183" s="0" t="s">
        <v>255</v>
      </c>
      <c r="D183" s="0" t="s">
        <v>256</v>
      </c>
      <c r="E183" s="0" t="s">
        <v>257</v>
      </c>
      <c r="F183" s="0" t="s">
        <v>50</v>
      </c>
      <c r="G183" s="0" t="s">
        <v>50</v>
      </c>
      <c r="H183" s="0" t="s">
        <v>50</v>
      </c>
      <c r="I183" s="0" t="str">
        <f aca="false">HYPERLINK("https://omim.org/entry/233710", "233710")</f>
        <v>233710</v>
      </c>
      <c r="J183" s="0" t="s">
        <v>50</v>
      </c>
      <c r="K183" s="0" t="s">
        <v>50</v>
      </c>
      <c r="L183" s="0" t="s">
        <v>50</v>
      </c>
      <c r="M183" s="0" t="s">
        <v>50</v>
      </c>
      <c r="N183" s="0" t="s">
        <v>50</v>
      </c>
      <c r="O183" s="0" t="s">
        <v>50</v>
      </c>
      <c r="P183" s="0" t="s">
        <v>50</v>
      </c>
    </row>
    <row r="184" customFormat="false" ht="15" hidden="false" customHeight="false" outlineLevel="0" collapsed="false">
      <c r="A184" s="0" t="s">
        <v>2787</v>
      </c>
      <c r="B184" s="0" t="s">
        <v>391</v>
      </c>
      <c r="C184" s="0" t="s">
        <v>392</v>
      </c>
      <c r="D184" s="0" t="s">
        <v>393</v>
      </c>
      <c r="E184" s="0" t="s">
        <v>394</v>
      </c>
      <c r="F184" s="0" t="s">
        <v>2788</v>
      </c>
      <c r="G184" s="0" t="s">
        <v>2789</v>
      </c>
      <c r="H184" s="0" t="s">
        <v>2790</v>
      </c>
      <c r="I184" s="0" t="str">
        <f aca="false">HYPERLINK("https://omim.org/entry/613960", "613960")</f>
        <v>613960</v>
      </c>
      <c r="J184" s="0" t="s">
        <v>50</v>
      </c>
      <c r="K184" s="0" t="s">
        <v>50</v>
      </c>
      <c r="L184" s="0" t="s">
        <v>50</v>
      </c>
      <c r="M184" s="0" t="s">
        <v>50</v>
      </c>
      <c r="N184" s="0" t="s">
        <v>50</v>
      </c>
      <c r="O184" s="0" t="s">
        <v>50</v>
      </c>
      <c r="P184" s="0" t="s">
        <v>50</v>
      </c>
    </row>
    <row r="185" customFormat="false" ht="15" hidden="false" customHeight="false" outlineLevel="0" collapsed="false">
      <c r="A185" s="0" t="s">
        <v>2791</v>
      </c>
      <c r="B185" s="0" t="s">
        <v>2084</v>
      </c>
      <c r="C185" s="0" t="s">
        <v>2085</v>
      </c>
      <c r="D185" s="0" t="s">
        <v>2086</v>
      </c>
      <c r="E185" s="0" t="s">
        <v>2087</v>
      </c>
      <c r="F185" s="0" t="s">
        <v>2792</v>
      </c>
      <c r="G185" s="0" t="s">
        <v>2793</v>
      </c>
      <c r="H185" s="0" t="s">
        <v>2794</v>
      </c>
      <c r="I185" s="0" t="str">
        <f aca="false">HYPERLINK("https://omim.org/entry/601455", "601455")</f>
        <v>601455</v>
      </c>
      <c r="J185" s="0" t="s">
        <v>50</v>
      </c>
      <c r="K185" s="0" t="s">
        <v>50</v>
      </c>
      <c r="L185" s="0" t="s">
        <v>50</v>
      </c>
      <c r="M185" s="0" t="s">
        <v>50</v>
      </c>
      <c r="N185" s="0" t="s">
        <v>50</v>
      </c>
      <c r="O185" s="0" t="s">
        <v>50</v>
      </c>
      <c r="P185" s="0" t="s">
        <v>50</v>
      </c>
    </row>
    <row r="186" customFormat="false" ht="15" hidden="false" customHeight="false" outlineLevel="0" collapsed="false">
      <c r="A186" s="0" t="s">
        <v>2795</v>
      </c>
      <c r="B186" s="0" t="s">
        <v>70</v>
      </c>
      <c r="C186" s="0" t="s">
        <v>71</v>
      </c>
      <c r="D186" s="0" t="s">
        <v>72</v>
      </c>
      <c r="E186" s="0" t="s">
        <v>50</v>
      </c>
      <c r="F186" s="0" t="s">
        <v>2796</v>
      </c>
      <c r="G186" s="0" t="s">
        <v>2797</v>
      </c>
      <c r="H186" s="0" t="s">
        <v>2313</v>
      </c>
      <c r="I186" s="0" t="s">
        <v>50</v>
      </c>
      <c r="J186" s="0" t="s">
        <v>50</v>
      </c>
      <c r="K186" s="0" t="s">
        <v>50</v>
      </c>
      <c r="L186" s="0" t="s">
        <v>50</v>
      </c>
      <c r="M186" s="0" t="s">
        <v>50</v>
      </c>
      <c r="N186" s="0" t="s">
        <v>50</v>
      </c>
      <c r="O186" s="0" t="s">
        <v>50</v>
      </c>
      <c r="P186" s="0" t="s">
        <v>50</v>
      </c>
    </row>
    <row r="187" customFormat="false" ht="15" hidden="false" customHeight="false" outlineLevel="0" collapsed="false">
      <c r="A187" s="0" t="s">
        <v>2798</v>
      </c>
      <c r="B187" s="0" t="s">
        <v>1128</v>
      </c>
      <c r="C187" s="0" t="s">
        <v>1129</v>
      </c>
      <c r="D187" s="0" t="s">
        <v>1130</v>
      </c>
      <c r="E187" s="0" t="s">
        <v>1131</v>
      </c>
      <c r="F187" s="0" t="s">
        <v>2799</v>
      </c>
      <c r="G187" s="0" t="s">
        <v>2800</v>
      </c>
      <c r="H187" s="0" t="s">
        <v>2801</v>
      </c>
      <c r="I187" s="0" t="str">
        <f aca="false">HYPERLINK("https://omim.org/entry/162200", "162200")</f>
        <v>162200</v>
      </c>
      <c r="J187" s="0" t="str">
        <f aca="false">HYPERLINK("https://omim.org/entry/607785", "607785")</f>
        <v>607785</v>
      </c>
      <c r="K187" s="0" t="str">
        <f aca="false">HYPERLINK("https://omim.org/entry/193520", "193520")</f>
        <v>193520</v>
      </c>
      <c r="L187" s="0" t="str">
        <f aca="false">HYPERLINK("https://omim.org/entry/162210", "162210")</f>
        <v>162210</v>
      </c>
      <c r="M187" s="0" t="str">
        <f aca="false">HYPERLINK("https://omim.org/entry/601321", "601321")</f>
        <v>601321</v>
      </c>
      <c r="N187" s="0" t="str">
        <f aca="false">HYPERLINK("https://omim.org/entry/114500", "114500")</f>
        <v>114500</v>
      </c>
      <c r="O187" s="0" t="s">
        <v>50</v>
      </c>
      <c r="P187" s="0" t="s">
        <v>50</v>
      </c>
    </row>
    <row r="188" customFormat="false" ht="15" hidden="false" customHeight="false" outlineLevel="0" collapsed="false">
      <c r="A188" s="0" t="s">
        <v>2802</v>
      </c>
      <c r="B188" s="0" t="s">
        <v>1250</v>
      </c>
      <c r="C188" s="0" t="s">
        <v>1251</v>
      </c>
      <c r="D188" s="0" t="s">
        <v>1252</v>
      </c>
      <c r="E188" s="0" t="s">
        <v>50</v>
      </c>
      <c r="F188" s="0" t="s">
        <v>50</v>
      </c>
      <c r="G188" s="0" t="s">
        <v>2803</v>
      </c>
      <c r="H188" s="0" t="s">
        <v>2804</v>
      </c>
      <c r="I188" s="0" t="s">
        <v>50</v>
      </c>
      <c r="J188" s="0" t="s">
        <v>50</v>
      </c>
      <c r="K188" s="0" t="s">
        <v>50</v>
      </c>
      <c r="L188" s="0" t="s">
        <v>50</v>
      </c>
      <c r="M188" s="0" t="s">
        <v>50</v>
      </c>
      <c r="N188" s="0" t="s">
        <v>50</v>
      </c>
      <c r="O188" s="0" t="s">
        <v>50</v>
      </c>
      <c r="P188" s="0" t="s">
        <v>50</v>
      </c>
    </row>
    <row r="189" customFormat="false" ht="15" hidden="false" customHeight="false" outlineLevel="0" collapsed="false">
      <c r="A189" s="0" t="s">
        <v>2805</v>
      </c>
      <c r="B189" s="0" t="s">
        <v>2166</v>
      </c>
      <c r="C189" s="0" t="s">
        <v>2167</v>
      </c>
      <c r="D189" s="0" t="s">
        <v>2168</v>
      </c>
      <c r="E189" s="0" t="s">
        <v>2169</v>
      </c>
      <c r="F189" s="0" t="s">
        <v>2806</v>
      </c>
      <c r="G189" s="0" t="s">
        <v>2807</v>
      </c>
      <c r="H189" s="0" t="s">
        <v>2808</v>
      </c>
      <c r="I189" s="0" t="str">
        <f aca="false">HYPERLINK("https://omim.org/entry/300494", "300494")</f>
        <v>300494</v>
      </c>
      <c r="J189" s="0" t="s">
        <v>50</v>
      </c>
      <c r="K189" s="0" t="s">
        <v>50</v>
      </c>
      <c r="L189" s="0" t="s">
        <v>50</v>
      </c>
      <c r="M189" s="0" t="s">
        <v>50</v>
      </c>
      <c r="N189" s="0" t="s">
        <v>50</v>
      </c>
      <c r="O189" s="0" t="s">
        <v>50</v>
      </c>
      <c r="P189" s="0" t="s">
        <v>50</v>
      </c>
    </row>
    <row r="190" customFormat="false" ht="15" hidden="false" customHeight="false" outlineLevel="0" collapsed="false">
      <c r="A190" s="0" t="s">
        <v>2809</v>
      </c>
      <c r="B190" s="0" t="s">
        <v>1844</v>
      </c>
      <c r="C190" s="0" t="s">
        <v>1845</v>
      </c>
      <c r="D190" s="0" t="s">
        <v>1846</v>
      </c>
      <c r="E190" s="0" t="s">
        <v>50</v>
      </c>
      <c r="F190" s="0" t="s">
        <v>50</v>
      </c>
      <c r="G190" s="0" t="s">
        <v>2810</v>
      </c>
      <c r="H190" s="0" t="s">
        <v>2282</v>
      </c>
      <c r="I190" s="0" t="s">
        <v>50</v>
      </c>
      <c r="J190" s="0" t="s">
        <v>50</v>
      </c>
      <c r="K190" s="0" t="s">
        <v>50</v>
      </c>
      <c r="L190" s="0" t="s">
        <v>50</v>
      </c>
      <c r="M190" s="0" t="s">
        <v>50</v>
      </c>
      <c r="N190" s="0" t="s">
        <v>50</v>
      </c>
      <c r="O190" s="0" t="s">
        <v>50</v>
      </c>
      <c r="P190" s="0" t="s">
        <v>50</v>
      </c>
    </row>
    <row r="191" customFormat="false" ht="15" hidden="false" customHeight="false" outlineLevel="0" collapsed="false">
      <c r="A191" s="0" t="s">
        <v>2811</v>
      </c>
      <c r="B191" s="0" t="s">
        <v>50</v>
      </c>
      <c r="C191" s="0" t="s">
        <v>798</v>
      </c>
      <c r="D191" s="0" t="s">
        <v>799</v>
      </c>
      <c r="E191" s="0" t="s">
        <v>50</v>
      </c>
      <c r="F191" s="0" t="s">
        <v>2812</v>
      </c>
      <c r="G191" s="0" t="s">
        <v>2813</v>
      </c>
      <c r="H191" s="0" t="s">
        <v>2814</v>
      </c>
      <c r="I191" s="0" t="s">
        <v>50</v>
      </c>
      <c r="J191" s="0" t="s">
        <v>50</v>
      </c>
      <c r="K191" s="0" t="s">
        <v>50</v>
      </c>
      <c r="L191" s="0" t="s">
        <v>50</v>
      </c>
      <c r="M191" s="0" t="s">
        <v>50</v>
      </c>
      <c r="N191" s="0" t="s">
        <v>50</v>
      </c>
      <c r="O191" s="0" t="s">
        <v>50</v>
      </c>
      <c r="P191" s="0" t="s">
        <v>50</v>
      </c>
    </row>
    <row r="192" customFormat="false" ht="15" hidden="false" customHeight="false" outlineLevel="0" collapsed="false">
      <c r="A192" s="0" t="s">
        <v>2815</v>
      </c>
      <c r="B192" s="0" t="s">
        <v>55</v>
      </c>
      <c r="C192" s="0" t="s">
        <v>56</v>
      </c>
      <c r="D192" s="0" t="s">
        <v>57</v>
      </c>
      <c r="E192" s="0" t="s">
        <v>58</v>
      </c>
      <c r="F192" s="0" t="s">
        <v>2816</v>
      </c>
      <c r="G192" s="0" t="s">
        <v>2817</v>
      </c>
      <c r="H192" s="0" t="s">
        <v>2818</v>
      </c>
      <c r="I192" s="0" t="str">
        <f aca="false">HYPERLINK("https://omim.org/entry/607625", "607625")</f>
        <v>607625</v>
      </c>
      <c r="J192" s="0" t="s">
        <v>50</v>
      </c>
      <c r="K192" s="0" t="s">
        <v>50</v>
      </c>
      <c r="L192" s="0" t="s">
        <v>50</v>
      </c>
      <c r="M192" s="0" t="s">
        <v>50</v>
      </c>
      <c r="N192" s="0" t="s">
        <v>50</v>
      </c>
      <c r="O192" s="0" t="s">
        <v>50</v>
      </c>
      <c r="P192" s="0" t="s">
        <v>50</v>
      </c>
    </row>
    <row r="193" customFormat="false" ht="15" hidden="false" customHeight="false" outlineLevel="0" collapsed="false">
      <c r="A193" s="0" t="s">
        <v>2819</v>
      </c>
      <c r="B193" s="0" t="s">
        <v>1145</v>
      </c>
      <c r="C193" s="0" t="s">
        <v>1146</v>
      </c>
      <c r="D193" s="0" t="s">
        <v>1147</v>
      </c>
      <c r="E193" s="0" t="s">
        <v>50</v>
      </c>
      <c r="F193" s="0" t="s">
        <v>2820</v>
      </c>
      <c r="G193" s="0" t="s">
        <v>2821</v>
      </c>
      <c r="H193" s="0" t="s">
        <v>2822</v>
      </c>
      <c r="I193" s="0" t="s">
        <v>50</v>
      </c>
      <c r="J193" s="0" t="s">
        <v>50</v>
      </c>
      <c r="K193" s="0" t="s">
        <v>50</v>
      </c>
      <c r="L193" s="0" t="s">
        <v>50</v>
      </c>
      <c r="M193" s="0" t="s">
        <v>50</v>
      </c>
      <c r="N193" s="0" t="s">
        <v>50</v>
      </c>
      <c r="O193" s="0" t="s">
        <v>50</v>
      </c>
      <c r="P193" s="0" t="s">
        <v>50</v>
      </c>
    </row>
    <row r="194" customFormat="false" ht="15" hidden="false" customHeight="false" outlineLevel="0" collapsed="false">
      <c r="A194" s="0" t="s">
        <v>2823</v>
      </c>
      <c r="B194" s="0" t="s">
        <v>674</v>
      </c>
      <c r="C194" s="0" t="s">
        <v>675</v>
      </c>
      <c r="D194" s="0" t="s">
        <v>676</v>
      </c>
      <c r="E194" s="0" t="s">
        <v>50</v>
      </c>
      <c r="F194" s="0" t="s">
        <v>50</v>
      </c>
      <c r="G194" s="0" t="s">
        <v>50</v>
      </c>
      <c r="H194" s="0" t="s">
        <v>50</v>
      </c>
      <c r="I194" s="0" t="s">
        <v>50</v>
      </c>
      <c r="J194" s="0" t="s">
        <v>50</v>
      </c>
      <c r="K194" s="0" t="s">
        <v>50</v>
      </c>
      <c r="L194" s="0" t="s">
        <v>50</v>
      </c>
      <c r="M194" s="0" t="s">
        <v>50</v>
      </c>
      <c r="N194" s="0" t="s">
        <v>50</v>
      </c>
      <c r="O194" s="0" t="s">
        <v>50</v>
      </c>
      <c r="P194" s="0" t="s">
        <v>50</v>
      </c>
    </row>
    <row r="195" customFormat="false" ht="15" hidden="false" customHeight="false" outlineLevel="0" collapsed="false">
      <c r="A195" s="0" t="s">
        <v>2824</v>
      </c>
      <c r="B195" s="0" t="s">
        <v>1887</v>
      </c>
      <c r="C195" s="0" t="s">
        <v>1888</v>
      </c>
      <c r="D195" s="0" t="s">
        <v>1889</v>
      </c>
      <c r="E195" s="0" t="s">
        <v>50</v>
      </c>
      <c r="F195" s="0" t="s">
        <v>50</v>
      </c>
      <c r="G195" s="0" t="s">
        <v>2825</v>
      </c>
      <c r="H195" s="0" t="s">
        <v>2826</v>
      </c>
      <c r="I195" s="0" t="s">
        <v>50</v>
      </c>
      <c r="J195" s="0" t="s">
        <v>50</v>
      </c>
      <c r="K195" s="0" t="s">
        <v>50</v>
      </c>
      <c r="L195" s="0" t="s">
        <v>50</v>
      </c>
      <c r="M195" s="0" t="s">
        <v>50</v>
      </c>
      <c r="N195" s="0" t="s">
        <v>50</v>
      </c>
      <c r="O195" s="0" t="s">
        <v>50</v>
      </c>
      <c r="P195" s="0" t="s">
        <v>50</v>
      </c>
    </row>
    <row r="196" customFormat="false" ht="15" hidden="false" customHeight="false" outlineLevel="0" collapsed="false">
      <c r="A196" s="0" t="s">
        <v>2827</v>
      </c>
      <c r="B196" s="0" t="s">
        <v>2127</v>
      </c>
      <c r="C196" s="0" t="s">
        <v>2128</v>
      </c>
      <c r="D196" s="0" t="s">
        <v>2129</v>
      </c>
      <c r="E196" s="0" t="s">
        <v>2130</v>
      </c>
      <c r="F196" s="0" t="s">
        <v>2828</v>
      </c>
      <c r="G196" s="0" t="s">
        <v>2829</v>
      </c>
      <c r="H196" s="0" t="s">
        <v>2830</v>
      </c>
      <c r="I196" s="0" t="s">
        <v>50</v>
      </c>
      <c r="J196" s="0" t="s">
        <v>50</v>
      </c>
      <c r="K196" s="0" t="s">
        <v>50</v>
      </c>
      <c r="L196" s="0" t="s">
        <v>50</v>
      </c>
      <c r="M196" s="0" t="s">
        <v>50</v>
      </c>
      <c r="N196" s="0" t="s">
        <v>50</v>
      </c>
      <c r="O196" s="0" t="s">
        <v>50</v>
      </c>
      <c r="P196" s="0" t="s">
        <v>50</v>
      </c>
    </row>
    <row r="197" customFormat="false" ht="15" hidden="false" customHeight="false" outlineLevel="0" collapsed="false">
      <c r="A197" s="0" t="s">
        <v>2831</v>
      </c>
      <c r="B197" s="0" t="s">
        <v>50</v>
      </c>
      <c r="C197" s="0" t="s">
        <v>1772</v>
      </c>
      <c r="D197" s="0" t="s">
        <v>50</v>
      </c>
      <c r="E197" s="0" t="s">
        <v>50</v>
      </c>
      <c r="F197" s="0" t="s">
        <v>50</v>
      </c>
      <c r="G197" s="0" t="s">
        <v>50</v>
      </c>
      <c r="H197" s="0" t="s">
        <v>50</v>
      </c>
      <c r="I197" s="0" t="s">
        <v>50</v>
      </c>
      <c r="J197" s="0" t="s">
        <v>50</v>
      </c>
      <c r="K197" s="0" t="s">
        <v>50</v>
      </c>
      <c r="L197" s="0" t="s">
        <v>50</v>
      </c>
      <c r="M197" s="0" t="s">
        <v>50</v>
      </c>
      <c r="N197" s="0" t="s">
        <v>50</v>
      </c>
      <c r="O197" s="0" t="s">
        <v>50</v>
      </c>
      <c r="P197" s="0" t="s">
        <v>50</v>
      </c>
    </row>
    <row r="198" customFormat="false" ht="15" hidden="false" customHeight="false" outlineLevel="0" collapsed="false">
      <c r="A198" s="0" t="s">
        <v>2832</v>
      </c>
      <c r="B198" s="0" t="s">
        <v>2179</v>
      </c>
      <c r="C198" s="0" t="s">
        <v>2833</v>
      </c>
      <c r="D198" s="0" t="s">
        <v>2181</v>
      </c>
      <c r="E198" s="0" t="s">
        <v>2182</v>
      </c>
      <c r="F198" s="0" t="s">
        <v>2834</v>
      </c>
      <c r="G198" s="0" t="s">
        <v>50</v>
      </c>
      <c r="H198" s="0" t="s">
        <v>50</v>
      </c>
      <c r="I198" s="0" t="s">
        <v>50</v>
      </c>
      <c r="J198" s="0" t="s">
        <v>50</v>
      </c>
      <c r="K198" s="0" t="s">
        <v>50</v>
      </c>
      <c r="L198" s="0" t="s">
        <v>50</v>
      </c>
      <c r="M198" s="0" t="s">
        <v>50</v>
      </c>
      <c r="N198" s="0" t="s">
        <v>50</v>
      </c>
      <c r="O198" s="0" t="s">
        <v>50</v>
      </c>
      <c r="P198" s="0" t="s">
        <v>50</v>
      </c>
    </row>
    <row r="199" customFormat="false" ht="15" hidden="false" customHeight="false" outlineLevel="0" collapsed="false">
      <c r="A199" s="0" t="s">
        <v>2835</v>
      </c>
      <c r="B199" s="0" t="s">
        <v>812</v>
      </c>
      <c r="C199" s="0" t="s">
        <v>813</v>
      </c>
      <c r="D199" s="0" t="s">
        <v>814</v>
      </c>
      <c r="E199" s="0" t="s">
        <v>50</v>
      </c>
      <c r="F199" s="0" t="s">
        <v>50</v>
      </c>
      <c r="G199" s="0" t="s">
        <v>50</v>
      </c>
      <c r="H199" s="0" t="s">
        <v>50</v>
      </c>
      <c r="I199" s="0" t="s">
        <v>50</v>
      </c>
      <c r="J199" s="0" t="s">
        <v>50</v>
      </c>
      <c r="K199" s="0" t="s">
        <v>50</v>
      </c>
      <c r="L199" s="0" t="s">
        <v>50</v>
      </c>
      <c r="M199" s="0" t="s">
        <v>50</v>
      </c>
      <c r="N199" s="0" t="s">
        <v>50</v>
      </c>
      <c r="O199" s="0" t="s">
        <v>50</v>
      </c>
      <c r="P199" s="0" t="s">
        <v>50</v>
      </c>
    </row>
    <row r="200" customFormat="false" ht="15" hidden="false" customHeight="false" outlineLevel="0" collapsed="false">
      <c r="A200" s="0" t="s">
        <v>2836</v>
      </c>
      <c r="B200" s="0" t="s">
        <v>1151</v>
      </c>
      <c r="C200" s="0" t="s">
        <v>1152</v>
      </c>
      <c r="D200" s="0" t="s">
        <v>50</v>
      </c>
      <c r="E200" s="0" t="s">
        <v>50</v>
      </c>
      <c r="F200" s="0" t="s">
        <v>2837</v>
      </c>
      <c r="G200" s="0" t="s">
        <v>2838</v>
      </c>
      <c r="H200" s="0" t="s">
        <v>2839</v>
      </c>
      <c r="I200" s="0" t="s">
        <v>50</v>
      </c>
      <c r="J200" s="0" t="s">
        <v>50</v>
      </c>
      <c r="K200" s="0" t="s">
        <v>50</v>
      </c>
      <c r="L200" s="0" t="s">
        <v>50</v>
      </c>
      <c r="M200" s="0" t="s">
        <v>50</v>
      </c>
      <c r="N200" s="0" t="s">
        <v>50</v>
      </c>
      <c r="O200" s="0" t="s">
        <v>50</v>
      </c>
      <c r="P200" s="0" t="s">
        <v>50</v>
      </c>
    </row>
    <row r="201" customFormat="false" ht="15" hidden="false" customHeight="false" outlineLevel="0" collapsed="false">
      <c r="A201" s="0" t="s">
        <v>2840</v>
      </c>
      <c r="B201" s="0" t="s">
        <v>456</v>
      </c>
      <c r="C201" s="0" t="s">
        <v>457</v>
      </c>
      <c r="D201" s="0" t="s">
        <v>458</v>
      </c>
      <c r="E201" s="0" t="s">
        <v>50</v>
      </c>
      <c r="F201" s="0" t="s">
        <v>2841</v>
      </c>
      <c r="G201" s="0" t="s">
        <v>2842</v>
      </c>
      <c r="H201" s="0" t="s">
        <v>2843</v>
      </c>
      <c r="I201" s="0" t="s">
        <v>50</v>
      </c>
      <c r="J201" s="0" t="s">
        <v>50</v>
      </c>
      <c r="K201" s="0" t="s">
        <v>50</v>
      </c>
      <c r="L201" s="0" t="s">
        <v>50</v>
      </c>
      <c r="M201" s="0" t="s">
        <v>50</v>
      </c>
      <c r="N201" s="0" t="s">
        <v>50</v>
      </c>
      <c r="O201" s="0" t="s">
        <v>50</v>
      </c>
      <c r="P201" s="0" t="s">
        <v>50</v>
      </c>
    </row>
    <row r="202" customFormat="false" ht="15" hidden="false" customHeight="false" outlineLevel="0" collapsed="false">
      <c r="A202" s="0" t="s">
        <v>2844</v>
      </c>
      <c r="B202" s="0" t="s">
        <v>340</v>
      </c>
      <c r="C202" s="0" t="s">
        <v>341</v>
      </c>
      <c r="D202" s="0" t="s">
        <v>342</v>
      </c>
      <c r="E202" s="0" t="s">
        <v>343</v>
      </c>
      <c r="F202" s="0" t="s">
        <v>50</v>
      </c>
      <c r="G202" s="0" t="s">
        <v>2464</v>
      </c>
      <c r="H202" s="0" t="s">
        <v>2845</v>
      </c>
      <c r="I202" s="0" t="str">
        <f aca="false">HYPERLINK("https://omim.org/entry/608224", "608224")</f>
        <v>608224</v>
      </c>
      <c r="J202" s="0" t="s">
        <v>50</v>
      </c>
      <c r="K202" s="0" t="s">
        <v>50</v>
      </c>
      <c r="L202" s="0" t="s">
        <v>50</v>
      </c>
      <c r="M202" s="0" t="s">
        <v>50</v>
      </c>
      <c r="N202" s="0" t="s">
        <v>50</v>
      </c>
      <c r="O202" s="0" t="s">
        <v>50</v>
      </c>
      <c r="P202" s="0" t="s">
        <v>50</v>
      </c>
    </row>
    <row r="203" customFormat="false" ht="15" hidden="false" customHeight="false" outlineLevel="0" collapsed="false">
      <c r="A203" s="0" t="s">
        <v>2846</v>
      </c>
      <c r="B203" s="0" t="s">
        <v>1881</v>
      </c>
      <c r="C203" s="0" t="s">
        <v>1882</v>
      </c>
      <c r="D203" s="0" t="s">
        <v>1883</v>
      </c>
      <c r="E203" s="0" t="s">
        <v>50</v>
      </c>
      <c r="F203" s="0" t="s">
        <v>2847</v>
      </c>
      <c r="G203" s="0" t="s">
        <v>50</v>
      </c>
      <c r="H203" s="0" t="s">
        <v>50</v>
      </c>
      <c r="I203" s="0" t="s">
        <v>50</v>
      </c>
      <c r="J203" s="0" t="s">
        <v>50</v>
      </c>
      <c r="K203" s="0" t="s">
        <v>50</v>
      </c>
      <c r="L203" s="0" t="s">
        <v>50</v>
      </c>
      <c r="M203" s="0" t="s">
        <v>50</v>
      </c>
      <c r="N203" s="0" t="s">
        <v>50</v>
      </c>
      <c r="O203" s="0" t="s">
        <v>50</v>
      </c>
      <c r="P203" s="0" t="s">
        <v>50</v>
      </c>
    </row>
    <row r="204" customFormat="false" ht="15" hidden="false" customHeight="false" outlineLevel="0" collapsed="false">
      <c r="A204" s="0" t="s">
        <v>2848</v>
      </c>
      <c r="B204" s="0" t="s">
        <v>216</v>
      </c>
      <c r="C204" s="0" t="s">
        <v>217</v>
      </c>
      <c r="D204" s="0" t="s">
        <v>218</v>
      </c>
      <c r="E204" s="0" t="s">
        <v>219</v>
      </c>
      <c r="F204" s="0" t="s">
        <v>2849</v>
      </c>
      <c r="G204" s="0" t="s">
        <v>2850</v>
      </c>
      <c r="H204" s="0" t="s">
        <v>2851</v>
      </c>
      <c r="I204" s="0" t="str">
        <f aca="false">HYPERLINK("https://omim.org/entry/168600", "168600")</f>
        <v>168600</v>
      </c>
      <c r="J204" s="0" t="str">
        <f aca="false">HYPERLINK("https://omim.org/entry/600116", "600116")</f>
        <v>600116</v>
      </c>
      <c r="K204" s="0" t="s">
        <v>50</v>
      </c>
      <c r="L204" s="0" t="s">
        <v>50</v>
      </c>
      <c r="M204" s="0" t="s">
        <v>50</v>
      </c>
      <c r="N204" s="0" t="s">
        <v>50</v>
      </c>
      <c r="O204" s="0" t="s">
        <v>50</v>
      </c>
      <c r="P204" s="0" t="s">
        <v>50</v>
      </c>
    </row>
    <row r="205" customFormat="false" ht="15" hidden="false" customHeight="false" outlineLevel="0" collapsed="false">
      <c r="A205" s="0" t="s">
        <v>2852</v>
      </c>
      <c r="B205" s="0" t="s">
        <v>1663</v>
      </c>
      <c r="C205" s="0" t="s">
        <v>1664</v>
      </c>
      <c r="D205" s="0" t="s">
        <v>1665</v>
      </c>
      <c r="E205" s="0" t="s">
        <v>50</v>
      </c>
      <c r="F205" s="0" t="s">
        <v>2853</v>
      </c>
      <c r="G205" s="0" t="s">
        <v>2854</v>
      </c>
      <c r="H205" s="0" t="s">
        <v>50</v>
      </c>
      <c r="I205" s="0" t="s">
        <v>50</v>
      </c>
      <c r="J205" s="0" t="s">
        <v>50</v>
      </c>
      <c r="K205" s="0" t="s">
        <v>50</v>
      </c>
      <c r="L205" s="0" t="s">
        <v>50</v>
      </c>
      <c r="M205" s="0" t="s">
        <v>50</v>
      </c>
      <c r="N205" s="0" t="s">
        <v>50</v>
      </c>
      <c r="O205" s="0" t="s">
        <v>50</v>
      </c>
      <c r="P205" s="0" t="s">
        <v>50</v>
      </c>
    </row>
    <row r="206" customFormat="false" ht="15" hidden="false" customHeight="false" outlineLevel="0" collapsed="false">
      <c r="A206" s="0" t="s">
        <v>2855</v>
      </c>
      <c r="B206" s="0" t="s">
        <v>839</v>
      </c>
      <c r="C206" s="0" t="s">
        <v>840</v>
      </c>
      <c r="D206" s="0" t="s">
        <v>841</v>
      </c>
      <c r="E206" s="0" t="s">
        <v>842</v>
      </c>
      <c r="F206" s="0" t="s">
        <v>2856</v>
      </c>
      <c r="G206" s="0" t="s">
        <v>2857</v>
      </c>
      <c r="H206" s="0" t="s">
        <v>2858</v>
      </c>
      <c r="I206" s="0" t="str">
        <f aca="false">HYPERLINK("https://omim.org/entry/106210", "106210")</f>
        <v>106210</v>
      </c>
      <c r="J206" s="0" t="str">
        <f aca="false">HYPERLINK("https://omim.org/entry/604229", "604229")</f>
        <v>604229</v>
      </c>
      <c r="K206" s="0" t="str">
        <f aca="false">HYPERLINK("https://omim.org/entry/136520", "136520")</f>
        <v>136520</v>
      </c>
      <c r="L206" s="0" t="str">
        <f aca="false">HYPERLINK("https://omim.org/entry/148190", "148190")</f>
        <v>148190</v>
      </c>
      <c r="M206" s="0" t="str">
        <f aca="false">HYPERLINK("https://omim.org/entry/120200", "120200")</f>
        <v>120200</v>
      </c>
      <c r="N206" s="0" t="str">
        <f aca="false">HYPERLINK("https://omim.org/entry/120430", "120430")</f>
        <v>120430</v>
      </c>
      <c r="O206" s="0" t="str">
        <f aca="false">HYPERLINK("https://omim.org/entry/165550", "165550")</f>
        <v>165550</v>
      </c>
      <c r="P206" s="0" t="str">
        <f aca="false">HYPERLINK("https://omim.org/entry/206700", "206700")</f>
        <v>206700</v>
      </c>
    </row>
    <row r="207" customFormat="false" ht="15" hidden="false" customHeight="false" outlineLevel="0" collapsed="false">
      <c r="A207" s="0" t="s">
        <v>2859</v>
      </c>
      <c r="B207" s="0" t="s">
        <v>1575</v>
      </c>
      <c r="C207" s="0" t="s">
        <v>1576</v>
      </c>
      <c r="D207" s="0" t="s">
        <v>50</v>
      </c>
      <c r="E207" s="0" t="s">
        <v>50</v>
      </c>
      <c r="F207" s="0" t="s">
        <v>50</v>
      </c>
      <c r="G207" s="0" t="s">
        <v>2860</v>
      </c>
      <c r="H207" s="0" t="s">
        <v>2861</v>
      </c>
      <c r="I207" s="0" t="s">
        <v>50</v>
      </c>
      <c r="J207" s="0" t="s">
        <v>50</v>
      </c>
      <c r="K207" s="0" t="s">
        <v>50</v>
      </c>
      <c r="L207" s="0" t="s">
        <v>50</v>
      </c>
      <c r="M207" s="0" t="s">
        <v>50</v>
      </c>
      <c r="N207" s="0" t="s">
        <v>50</v>
      </c>
      <c r="O207" s="0" t="s">
        <v>50</v>
      </c>
      <c r="P207" s="0" t="s">
        <v>50</v>
      </c>
    </row>
    <row r="208" customFormat="false" ht="15" hidden="false" customHeight="false" outlineLevel="0" collapsed="false">
      <c r="A208" s="0" t="s">
        <v>2862</v>
      </c>
      <c r="B208" s="0" t="s">
        <v>50</v>
      </c>
      <c r="C208" s="0" t="s">
        <v>998</v>
      </c>
      <c r="D208" s="0" t="s">
        <v>50</v>
      </c>
      <c r="E208" s="0" t="s">
        <v>50</v>
      </c>
      <c r="F208" s="0" t="s">
        <v>50</v>
      </c>
      <c r="G208" s="0" t="s">
        <v>50</v>
      </c>
      <c r="H208" s="0" t="s">
        <v>50</v>
      </c>
      <c r="I208" s="0" t="s">
        <v>50</v>
      </c>
      <c r="J208" s="0" t="s">
        <v>50</v>
      </c>
      <c r="K208" s="0" t="s">
        <v>50</v>
      </c>
      <c r="L208" s="0" t="s">
        <v>50</v>
      </c>
      <c r="M208" s="0" t="s">
        <v>50</v>
      </c>
      <c r="N208" s="0" t="s">
        <v>50</v>
      </c>
      <c r="O208" s="0" t="s">
        <v>50</v>
      </c>
      <c r="P208" s="0" t="s">
        <v>50</v>
      </c>
    </row>
    <row r="209" customFormat="false" ht="15" hidden="false" customHeight="false" outlineLevel="0" collapsed="false">
      <c r="A209" s="0" t="s">
        <v>2863</v>
      </c>
      <c r="B209" s="0" t="s">
        <v>1856</v>
      </c>
      <c r="C209" s="0" t="s">
        <v>1857</v>
      </c>
      <c r="D209" s="0" t="s">
        <v>1858</v>
      </c>
      <c r="E209" s="0" t="s">
        <v>1859</v>
      </c>
      <c r="F209" s="0" t="s">
        <v>50</v>
      </c>
      <c r="G209" s="0" t="s">
        <v>2864</v>
      </c>
      <c r="H209" s="0" t="s">
        <v>2865</v>
      </c>
      <c r="I209" s="0" t="str">
        <f aca="false">HYPERLINK("https://omim.org/entry/600955", "600955")</f>
        <v>600955</v>
      </c>
      <c r="J209" s="0" t="s">
        <v>50</v>
      </c>
      <c r="K209" s="0" t="s">
        <v>50</v>
      </c>
      <c r="L209" s="0" t="s">
        <v>50</v>
      </c>
      <c r="M209" s="0" t="s">
        <v>50</v>
      </c>
      <c r="N209" s="0" t="s">
        <v>50</v>
      </c>
      <c r="O209" s="0" t="s">
        <v>50</v>
      </c>
      <c r="P209" s="0" t="s">
        <v>50</v>
      </c>
    </row>
    <row r="210" customFormat="false" ht="15" hidden="false" customHeight="false" outlineLevel="0" collapsed="false">
      <c r="A210" s="0" t="s">
        <v>2866</v>
      </c>
      <c r="B210" s="0" t="s">
        <v>1498</v>
      </c>
      <c r="C210" s="0" t="s">
        <v>1499</v>
      </c>
      <c r="D210" s="0" t="s">
        <v>1500</v>
      </c>
      <c r="E210" s="0" t="s">
        <v>1501</v>
      </c>
      <c r="F210" s="0" t="s">
        <v>2867</v>
      </c>
      <c r="G210" s="0" t="s">
        <v>2683</v>
      </c>
      <c r="H210" s="0" t="s">
        <v>2238</v>
      </c>
      <c r="I210" s="0" t="str">
        <f aca="false">HYPERLINK("https://omim.org/entry/610475", "610475")</f>
        <v>610475</v>
      </c>
      <c r="J210" s="0" t="s">
        <v>50</v>
      </c>
      <c r="K210" s="0" t="s">
        <v>50</v>
      </c>
      <c r="L210" s="0" t="s">
        <v>50</v>
      </c>
      <c r="M210" s="0" t="s">
        <v>50</v>
      </c>
      <c r="N210" s="0" t="s">
        <v>50</v>
      </c>
      <c r="O210" s="0" t="s">
        <v>50</v>
      </c>
      <c r="P210" s="0" t="s">
        <v>50</v>
      </c>
    </row>
    <row r="211" customFormat="false" ht="15" hidden="false" customHeight="false" outlineLevel="0" collapsed="false">
      <c r="A211" s="0" t="s">
        <v>2868</v>
      </c>
      <c r="B211" s="0" t="s">
        <v>1983</v>
      </c>
      <c r="C211" s="0" t="s">
        <v>1984</v>
      </c>
      <c r="D211" s="0" t="s">
        <v>1985</v>
      </c>
      <c r="E211" s="0" t="s">
        <v>1986</v>
      </c>
      <c r="F211" s="0" t="s">
        <v>50</v>
      </c>
      <c r="G211" s="0" t="s">
        <v>2869</v>
      </c>
      <c r="H211" s="0" t="s">
        <v>2870</v>
      </c>
      <c r="I211" s="0" t="str">
        <f aca="false">HYPERLINK("https://omim.org/entry/214100", "214100")</f>
        <v>214100</v>
      </c>
      <c r="J211" s="0" t="str">
        <f aca="false">HYPERLINK("https://omim.org/entry/214100", "214100")</f>
        <v>214100</v>
      </c>
      <c r="K211" s="0" t="str">
        <f aca="false">HYPERLINK("https://omim.org/entry/601539", "601539")</f>
        <v>601539</v>
      </c>
      <c r="L211" s="0" t="s">
        <v>50</v>
      </c>
      <c r="M211" s="0" t="s">
        <v>50</v>
      </c>
      <c r="N211" s="0" t="s">
        <v>50</v>
      </c>
      <c r="O211" s="0" t="s">
        <v>50</v>
      </c>
      <c r="P211" s="0" t="s">
        <v>50</v>
      </c>
    </row>
    <row r="212" customFormat="false" ht="15" hidden="false" customHeight="false" outlineLevel="0" collapsed="false">
      <c r="A212" s="0" t="s">
        <v>2871</v>
      </c>
      <c r="B212" s="0" t="s">
        <v>1919</v>
      </c>
      <c r="C212" s="0" t="s">
        <v>1920</v>
      </c>
      <c r="D212" s="0" t="s">
        <v>1921</v>
      </c>
      <c r="E212" s="0" t="s">
        <v>1922</v>
      </c>
      <c r="F212" s="0" t="s">
        <v>50</v>
      </c>
      <c r="G212" s="0" t="s">
        <v>2872</v>
      </c>
      <c r="H212" s="0" t="s">
        <v>2873</v>
      </c>
      <c r="I212" s="0" t="str">
        <f aca="false">HYPERLINK("https://omim.org/entry/614862", "614862")</f>
        <v>614862</v>
      </c>
      <c r="J212" s="0" t="str">
        <f aca="false">HYPERLINK("https://omim.org/entry/614862", "614862")</f>
        <v>614862</v>
      </c>
      <c r="K212" s="0" t="str">
        <f aca="false">HYPERLINK("https://omim.org/entry/614863", "614863")</f>
        <v>614863</v>
      </c>
      <c r="L212" s="0" t="s">
        <v>50</v>
      </c>
      <c r="M212" s="0" t="s">
        <v>50</v>
      </c>
      <c r="N212" s="0" t="s">
        <v>50</v>
      </c>
      <c r="O212" s="0" t="s">
        <v>50</v>
      </c>
      <c r="P212" s="0" t="s">
        <v>50</v>
      </c>
    </row>
    <row r="213" customFormat="false" ht="15" hidden="false" customHeight="false" outlineLevel="0" collapsed="false">
      <c r="A213" s="0" t="s">
        <v>2874</v>
      </c>
      <c r="B213" s="0" t="s">
        <v>158</v>
      </c>
      <c r="C213" s="0" t="s">
        <v>159</v>
      </c>
      <c r="D213" s="0" t="s">
        <v>160</v>
      </c>
      <c r="E213" s="0" t="s">
        <v>161</v>
      </c>
      <c r="F213" s="0" t="s">
        <v>50</v>
      </c>
      <c r="G213" s="0" t="s">
        <v>50</v>
      </c>
      <c r="H213" s="0" t="s">
        <v>50</v>
      </c>
      <c r="I213" s="0" t="str">
        <f aca="false">HYPERLINK("https://omim.org/entry/615011", "615011")</f>
        <v>615011</v>
      </c>
      <c r="J213" s="0" t="s">
        <v>50</v>
      </c>
      <c r="K213" s="0" t="s">
        <v>50</v>
      </c>
      <c r="L213" s="0" t="s">
        <v>50</v>
      </c>
      <c r="M213" s="0" t="s">
        <v>50</v>
      </c>
      <c r="N213" s="0" t="s">
        <v>50</v>
      </c>
      <c r="O213" s="0" t="s">
        <v>50</v>
      </c>
      <c r="P213" s="0" t="s">
        <v>50</v>
      </c>
    </row>
    <row r="214" customFormat="false" ht="15" hidden="false" customHeight="false" outlineLevel="0" collapsed="false">
      <c r="A214" s="0" t="s">
        <v>2875</v>
      </c>
      <c r="B214" s="0" t="s">
        <v>1277</v>
      </c>
      <c r="C214" s="0" t="s">
        <v>1278</v>
      </c>
      <c r="D214" s="0" t="s">
        <v>1279</v>
      </c>
      <c r="E214" s="0" t="s">
        <v>50</v>
      </c>
      <c r="F214" s="0" t="s">
        <v>2876</v>
      </c>
      <c r="G214" s="0" t="s">
        <v>2877</v>
      </c>
      <c r="H214" s="0" t="s">
        <v>2878</v>
      </c>
      <c r="I214" s="0" t="s">
        <v>50</v>
      </c>
      <c r="J214" s="0" t="s">
        <v>50</v>
      </c>
      <c r="K214" s="0" t="s">
        <v>50</v>
      </c>
      <c r="L214" s="0" t="s">
        <v>50</v>
      </c>
      <c r="M214" s="0" t="s">
        <v>50</v>
      </c>
      <c r="N214" s="0" t="s">
        <v>50</v>
      </c>
      <c r="O214" s="0" t="s">
        <v>50</v>
      </c>
      <c r="P214" s="0" t="s">
        <v>50</v>
      </c>
    </row>
    <row r="215" customFormat="false" ht="15" hidden="false" customHeight="false" outlineLevel="0" collapsed="false">
      <c r="A215" s="0" t="s">
        <v>2879</v>
      </c>
      <c r="B215" s="0" t="s">
        <v>860</v>
      </c>
      <c r="C215" s="0" t="s">
        <v>861</v>
      </c>
      <c r="D215" s="0" t="s">
        <v>862</v>
      </c>
      <c r="E215" s="0" t="s">
        <v>50</v>
      </c>
      <c r="F215" s="0" t="s">
        <v>2880</v>
      </c>
      <c r="G215" s="0" t="s">
        <v>2881</v>
      </c>
      <c r="H215" s="0" t="s">
        <v>2882</v>
      </c>
      <c r="I215" s="0" t="s">
        <v>50</v>
      </c>
      <c r="J215" s="0" t="s">
        <v>50</v>
      </c>
      <c r="K215" s="0" t="s">
        <v>50</v>
      </c>
      <c r="L215" s="0" t="s">
        <v>50</v>
      </c>
      <c r="M215" s="0" t="s">
        <v>50</v>
      </c>
      <c r="N215" s="0" t="s">
        <v>50</v>
      </c>
      <c r="O215" s="0" t="s">
        <v>50</v>
      </c>
      <c r="P215" s="0" t="s">
        <v>50</v>
      </c>
    </row>
    <row r="216" customFormat="false" ht="15" hidden="false" customHeight="false" outlineLevel="0" collapsed="false">
      <c r="A216" s="0" t="s">
        <v>2883</v>
      </c>
      <c r="B216" s="0" t="s">
        <v>227</v>
      </c>
      <c r="C216" s="0" t="s">
        <v>228</v>
      </c>
      <c r="D216" s="0" t="s">
        <v>229</v>
      </c>
      <c r="E216" s="0" t="s">
        <v>50</v>
      </c>
      <c r="F216" s="0" t="s">
        <v>2884</v>
      </c>
      <c r="G216" s="0" t="s">
        <v>2885</v>
      </c>
      <c r="H216" s="0" t="s">
        <v>2287</v>
      </c>
      <c r="I216" s="0" t="s">
        <v>50</v>
      </c>
      <c r="J216" s="0" t="s">
        <v>50</v>
      </c>
      <c r="K216" s="0" t="s">
        <v>50</v>
      </c>
      <c r="L216" s="0" t="s">
        <v>50</v>
      </c>
      <c r="M216" s="0" t="s">
        <v>50</v>
      </c>
      <c r="N216" s="0" t="s">
        <v>50</v>
      </c>
      <c r="O216" s="0" t="s">
        <v>50</v>
      </c>
      <c r="P216" s="0" t="s">
        <v>50</v>
      </c>
    </row>
    <row r="217" customFormat="false" ht="15" hidden="false" customHeight="false" outlineLevel="0" collapsed="false">
      <c r="A217" s="0" t="s">
        <v>2886</v>
      </c>
      <c r="B217" s="0" t="s">
        <v>431</v>
      </c>
      <c r="C217" s="0" t="s">
        <v>432</v>
      </c>
      <c r="D217" s="0" t="s">
        <v>433</v>
      </c>
      <c r="E217" s="0" t="s">
        <v>50</v>
      </c>
      <c r="F217" s="0" t="s">
        <v>2887</v>
      </c>
      <c r="G217" s="0" t="s">
        <v>2888</v>
      </c>
      <c r="H217" s="0" t="s">
        <v>2889</v>
      </c>
      <c r="I217" s="0" t="s">
        <v>50</v>
      </c>
      <c r="J217" s="0" t="s">
        <v>50</v>
      </c>
      <c r="K217" s="0" t="s">
        <v>50</v>
      </c>
      <c r="L217" s="0" t="s">
        <v>50</v>
      </c>
      <c r="M217" s="0" t="s">
        <v>50</v>
      </c>
      <c r="N217" s="0" t="s">
        <v>50</v>
      </c>
      <c r="O217" s="0" t="s">
        <v>50</v>
      </c>
      <c r="P217" s="0" t="s">
        <v>50</v>
      </c>
    </row>
    <row r="218" customFormat="false" ht="15" hidden="false" customHeight="false" outlineLevel="0" collapsed="false">
      <c r="A218" s="0" t="s">
        <v>2890</v>
      </c>
      <c r="B218" s="0" t="s">
        <v>1405</v>
      </c>
      <c r="C218" s="0" t="s">
        <v>1406</v>
      </c>
      <c r="D218" s="0" t="s">
        <v>1407</v>
      </c>
      <c r="E218" s="0" t="s">
        <v>50</v>
      </c>
      <c r="F218" s="0" t="s">
        <v>2891</v>
      </c>
      <c r="G218" s="0" t="s">
        <v>2892</v>
      </c>
      <c r="H218" s="0" t="s">
        <v>2893</v>
      </c>
      <c r="I218" s="0" t="s">
        <v>50</v>
      </c>
      <c r="J218" s="0" t="s">
        <v>50</v>
      </c>
      <c r="K218" s="0" t="s">
        <v>50</v>
      </c>
      <c r="L218" s="0" t="s">
        <v>50</v>
      </c>
      <c r="M218" s="0" t="s">
        <v>50</v>
      </c>
      <c r="N218" s="0" t="s">
        <v>50</v>
      </c>
      <c r="O218" s="0" t="s">
        <v>50</v>
      </c>
      <c r="P218" s="0" t="s">
        <v>50</v>
      </c>
    </row>
    <row r="219" customFormat="false" ht="15" hidden="false" customHeight="false" outlineLevel="0" collapsed="false">
      <c r="A219" s="0" t="s">
        <v>2894</v>
      </c>
      <c r="B219" s="0" t="s">
        <v>1060</v>
      </c>
      <c r="C219" s="0" t="s">
        <v>1061</v>
      </c>
      <c r="D219" s="0" t="s">
        <v>1062</v>
      </c>
      <c r="E219" s="0" t="s">
        <v>1063</v>
      </c>
      <c r="F219" s="0" t="s">
        <v>2895</v>
      </c>
      <c r="G219" s="0" t="s">
        <v>2896</v>
      </c>
      <c r="H219" s="0" t="s">
        <v>2897</v>
      </c>
      <c r="I219" s="0" t="s">
        <v>50</v>
      </c>
      <c r="J219" s="0" t="s">
        <v>50</v>
      </c>
      <c r="K219" s="0" t="s">
        <v>50</v>
      </c>
      <c r="L219" s="0" t="s">
        <v>50</v>
      </c>
      <c r="M219" s="0" t="s">
        <v>50</v>
      </c>
      <c r="N219" s="0" t="s">
        <v>50</v>
      </c>
      <c r="O219" s="0" t="s">
        <v>50</v>
      </c>
      <c r="P219" s="0" t="s">
        <v>50</v>
      </c>
    </row>
    <row r="220" customFormat="false" ht="15" hidden="false" customHeight="false" outlineLevel="0" collapsed="false">
      <c r="A220" s="0" t="s">
        <v>2898</v>
      </c>
      <c r="B220" s="0" t="s">
        <v>50</v>
      </c>
      <c r="C220" s="0" t="s">
        <v>1478</v>
      </c>
      <c r="D220" s="0" t="s">
        <v>50</v>
      </c>
      <c r="E220" s="0" t="s">
        <v>50</v>
      </c>
      <c r="F220" s="0" t="s">
        <v>50</v>
      </c>
      <c r="G220" s="0" t="s">
        <v>50</v>
      </c>
      <c r="H220" s="0" t="s">
        <v>50</v>
      </c>
      <c r="I220" s="0" t="s">
        <v>50</v>
      </c>
      <c r="J220" s="0" t="s">
        <v>50</v>
      </c>
      <c r="K220" s="0" t="s">
        <v>50</v>
      </c>
      <c r="L220" s="0" t="s">
        <v>50</v>
      </c>
      <c r="M220" s="0" t="s">
        <v>50</v>
      </c>
      <c r="N220" s="0" t="s">
        <v>50</v>
      </c>
      <c r="O220" s="0" t="s">
        <v>50</v>
      </c>
      <c r="P220" s="0" t="s">
        <v>50</v>
      </c>
    </row>
    <row r="221" customFormat="false" ht="15" hidden="false" customHeight="false" outlineLevel="0" collapsed="false">
      <c r="A221" s="0" t="s">
        <v>2899</v>
      </c>
      <c r="B221" s="0" t="s">
        <v>937</v>
      </c>
      <c r="C221" s="0" t="s">
        <v>938</v>
      </c>
      <c r="D221" s="0" t="s">
        <v>939</v>
      </c>
      <c r="E221" s="0" t="s">
        <v>50</v>
      </c>
      <c r="F221" s="0" t="s">
        <v>2900</v>
      </c>
      <c r="G221" s="0" t="s">
        <v>2901</v>
      </c>
      <c r="H221" s="0" t="s">
        <v>2902</v>
      </c>
      <c r="I221" s="0" t="s">
        <v>50</v>
      </c>
      <c r="J221" s="0" t="s">
        <v>50</v>
      </c>
      <c r="K221" s="0" t="s">
        <v>50</v>
      </c>
      <c r="L221" s="0" t="s">
        <v>50</v>
      </c>
      <c r="M221" s="0" t="s">
        <v>50</v>
      </c>
      <c r="N221" s="0" t="s">
        <v>50</v>
      </c>
      <c r="O221" s="0" t="s">
        <v>50</v>
      </c>
      <c r="P221" s="0" t="s">
        <v>50</v>
      </c>
    </row>
    <row r="222" customFormat="false" ht="15" hidden="false" customHeight="false" outlineLevel="0" collapsed="false">
      <c r="A222" s="0" t="s">
        <v>2903</v>
      </c>
      <c r="B222" s="0" t="s">
        <v>50</v>
      </c>
      <c r="C222" s="0" t="s">
        <v>1266</v>
      </c>
      <c r="D222" s="0" t="s">
        <v>1267</v>
      </c>
      <c r="E222" s="0" t="s">
        <v>50</v>
      </c>
      <c r="F222" s="0" t="s">
        <v>50</v>
      </c>
      <c r="G222" s="0" t="s">
        <v>2904</v>
      </c>
      <c r="H222" s="0" t="s">
        <v>2905</v>
      </c>
      <c r="I222" s="0" t="s">
        <v>50</v>
      </c>
      <c r="J222" s="0" t="s">
        <v>50</v>
      </c>
      <c r="K222" s="0" t="s">
        <v>50</v>
      </c>
      <c r="L222" s="0" t="s">
        <v>50</v>
      </c>
      <c r="M222" s="0" t="s">
        <v>50</v>
      </c>
      <c r="N222" s="0" t="s">
        <v>50</v>
      </c>
      <c r="O222" s="0" t="s">
        <v>50</v>
      </c>
      <c r="P222" s="0" t="s">
        <v>50</v>
      </c>
    </row>
    <row r="223" customFormat="false" ht="15" hidden="false" customHeight="false" outlineLevel="0" collapsed="false">
      <c r="A223" s="0" t="s">
        <v>2906</v>
      </c>
      <c r="B223" s="0" t="s">
        <v>2152</v>
      </c>
      <c r="C223" s="0" t="s">
        <v>2153</v>
      </c>
      <c r="D223" s="0" t="s">
        <v>50</v>
      </c>
      <c r="E223" s="0" t="s">
        <v>50</v>
      </c>
      <c r="F223" s="0" t="s">
        <v>2476</v>
      </c>
      <c r="G223" s="0" t="s">
        <v>50</v>
      </c>
      <c r="H223" s="0" t="s">
        <v>50</v>
      </c>
      <c r="I223" s="0" t="s">
        <v>50</v>
      </c>
      <c r="J223" s="0" t="s">
        <v>50</v>
      </c>
      <c r="K223" s="0" t="s">
        <v>50</v>
      </c>
      <c r="L223" s="0" t="s">
        <v>50</v>
      </c>
      <c r="M223" s="0" t="s">
        <v>50</v>
      </c>
      <c r="N223" s="0" t="s">
        <v>50</v>
      </c>
      <c r="O223" s="0" t="s">
        <v>50</v>
      </c>
      <c r="P223" s="0" t="s">
        <v>50</v>
      </c>
    </row>
    <row r="224" customFormat="false" ht="15" hidden="false" customHeight="false" outlineLevel="0" collapsed="false">
      <c r="A224" s="0" t="s">
        <v>2907</v>
      </c>
      <c r="B224" s="0" t="s">
        <v>765</v>
      </c>
      <c r="C224" s="0" t="s">
        <v>766</v>
      </c>
      <c r="D224" s="0" t="s">
        <v>767</v>
      </c>
      <c r="E224" s="0" t="s">
        <v>768</v>
      </c>
      <c r="F224" s="0" t="s">
        <v>2908</v>
      </c>
      <c r="G224" s="0" t="s">
        <v>2909</v>
      </c>
      <c r="H224" s="0" t="s">
        <v>2910</v>
      </c>
      <c r="I224" s="0" t="str">
        <f aca="false">HYPERLINK("https://omim.org/entry/615436", "615436")</f>
        <v>615436</v>
      </c>
      <c r="J224" s="0" t="s">
        <v>50</v>
      </c>
      <c r="K224" s="0" t="s">
        <v>50</v>
      </c>
      <c r="L224" s="0" t="s">
        <v>50</v>
      </c>
      <c r="M224" s="0" t="s">
        <v>50</v>
      </c>
      <c r="N224" s="0" t="s">
        <v>50</v>
      </c>
      <c r="O224" s="0" t="s">
        <v>50</v>
      </c>
      <c r="P224" s="0" t="s">
        <v>50</v>
      </c>
    </row>
    <row r="225" customFormat="false" ht="15" hidden="false" customHeight="false" outlineLevel="0" collapsed="false">
      <c r="A225" s="0" t="s">
        <v>2911</v>
      </c>
      <c r="B225" s="0" t="s">
        <v>122</v>
      </c>
      <c r="C225" s="0" t="s">
        <v>123</v>
      </c>
      <c r="D225" s="0" t="s">
        <v>124</v>
      </c>
      <c r="E225" s="0" t="s">
        <v>125</v>
      </c>
      <c r="F225" s="0" t="s">
        <v>2912</v>
      </c>
      <c r="G225" s="0" t="s">
        <v>2913</v>
      </c>
      <c r="H225" s="0" t="s">
        <v>50</v>
      </c>
      <c r="I225" s="0" t="str">
        <f aca="false">HYPERLINK("https://omim.org/entry/612336", "612336")</f>
        <v>612336</v>
      </c>
      <c r="J225" s="0" t="str">
        <f aca="false">HYPERLINK("https://omim.org/entry/614514", "614514")</f>
        <v>614514</v>
      </c>
      <c r="K225" s="0" t="s">
        <v>50</v>
      </c>
      <c r="L225" s="0" t="s">
        <v>50</v>
      </c>
      <c r="M225" s="0" t="s">
        <v>50</v>
      </c>
      <c r="N225" s="0" t="s">
        <v>50</v>
      </c>
      <c r="O225" s="0" t="s">
        <v>50</v>
      </c>
      <c r="P225" s="0" t="s">
        <v>50</v>
      </c>
    </row>
    <row r="226" customFormat="false" ht="15" hidden="false" customHeight="false" outlineLevel="0" collapsed="false">
      <c r="A226" s="0" t="s">
        <v>2914</v>
      </c>
      <c r="B226" s="0" t="s">
        <v>734</v>
      </c>
      <c r="C226" s="0" t="s">
        <v>735</v>
      </c>
      <c r="D226" s="0" t="s">
        <v>736</v>
      </c>
      <c r="E226" s="0" t="s">
        <v>50</v>
      </c>
      <c r="F226" s="0" t="s">
        <v>50</v>
      </c>
      <c r="G226" s="0" t="s">
        <v>2915</v>
      </c>
      <c r="H226" s="0" t="s">
        <v>2916</v>
      </c>
      <c r="I226" s="0" t="s">
        <v>50</v>
      </c>
      <c r="J226" s="0" t="s">
        <v>50</v>
      </c>
      <c r="K226" s="0" t="s">
        <v>50</v>
      </c>
      <c r="L226" s="0" t="s">
        <v>50</v>
      </c>
      <c r="M226" s="0" t="s">
        <v>50</v>
      </c>
      <c r="N226" s="0" t="s">
        <v>50</v>
      </c>
      <c r="O226" s="0" t="s">
        <v>50</v>
      </c>
      <c r="P226" s="0" t="s">
        <v>50</v>
      </c>
    </row>
    <row r="227" customFormat="false" ht="15" hidden="false" customHeight="false" outlineLevel="0" collapsed="false">
      <c r="A227" s="0" t="s">
        <v>2917</v>
      </c>
      <c r="B227" s="0" t="s">
        <v>2015</v>
      </c>
      <c r="C227" s="0" t="s">
        <v>2016</v>
      </c>
      <c r="D227" s="0" t="s">
        <v>2017</v>
      </c>
      <c r="E227" s="0" t="s">
        <v>2018</v>
      </c>
      <c r="F227" s="0" t="s">
        <v>50</v>
      </c>
      <c r="G227" s="0" t="s">
        <v>2918</v>
      </c>
      <c r="H227" s="0" t="s">
        <v>2919</v>
      </c>
      <c r="I227" s="0" t="str">
        <f aca="false">HYPERLINK("https://omim.org/entry/167800", "167800")</f>
        <v>167800</v>
      </c>
      <c r="J227" s="0" t="s">
        <v>50</v>
      </c>
      <c r="K227" s="0" t="s">
        <v>50</v>
      </c>
      <c r="L227" s="0" t="s">
        <v>50</v>
      </c>
      <c r="M227" s="0" t="s">
        <v>50</v>
      </c>
      <c r="N227" s="0" t="s">
        <v>50</v>
      </c>
      <c r="O227" s="0" t="s">
        <v>50</v>
      </c>
      <c r="P227" s="0" t="s">
        <v>50</v>
      </c>
    </row>
    <row r="228" customFormat="false" ht="15" hidden="false" customHeight="false" outlineLevel="0" collapsed="false">
      <c r="A228" s="0" t="s">
        <v>2920</v>
      </c>
      <c r="B228" s="0" t="s">
        <v>1677</v>
      </c>
      <c r="C228" s="0" t="s">
        <v>1678</v>
      </c>
      <c r="D228" s="0" t="s">
        <v>1679</v>
      </c>
      <c r="E228" s="0" t="s">
        <v>1680</v>
      </c>
      <c r="F228" s="0" t="s">
        <v>2921</v>
      </c>
      <c r="G228" s="0" t="s">
        <v>2922</v>
      </c>
      <c r="H228" s="0" t="s">
        <v>2923</v>
      </c>
      <c r="I228" s="0" t="str">
        <f aca="false">HYPERLINK("https://omim.org/entry/215045", "215045")</f>
        <v>215045</v>
      </c>
      <c r="J228" s="0" t="str">
        <f aca="false">HYPERLINK("https://omim.org/entry/166000", "166000")</f>
        <v>166000</v>
      </c>
      <c r="K228" s="0" t="str">
        <f aca="false">HYPERLINK("https://omim.org/entry/600002", "600002")</f>
        <v>600002</v>
      </c>
      <c r="L228" s="0" t="str">
        <f aca="false">HYPERLINK("https://omim.org/entry/125350", "125350")</f>
        <v>125350</v>
      </c>
      <c r="M228" s="0" t="s">
        <v>50</v>
      </c>
      <c r="N228" s="0" t="s">
        <v>50</v>
      </c>
      <c r="O228" s="0" t="s">
        <v>50</v>
      </c>
      <c r="P228" s="0" t="s">
        <v>50</v>
      </c>
    </row>
    <row r="229" customFormat="false" ht="15" hidden="false" customHeight="false" outlineLevel="0" collapsed="false">
      <c r="A229" s="0" t="s">
        <v>2924</v>
      </c>
      <c r="B229" s="0" t="s">
        <v>1554</v>
      </c>
      <c r="C229" s="0" t="s">
        <v>1555</v>
      </c>
      <c r="D229" s="0" t="s">
        <v>1556</v>
      </c>
      <c r="E229" s="0" t="s">
        <v>50</v>
      </c>
      <c r="F229" s="0" t="s">
        <v>50</v>
      </c>
      <c r="G229" s="0" t="s">
        <v>50</v>
      </c>
      <c r="H229" s="0" t="s">
        <v>50</v>
      </c>
      <c r="I229" s="0" t="s">
        <v>50</v>
      </c>
      <c r="J229" s="0" t="s">
        <v>50</v>
      </c>
      <c r="K229" s="0" t="s">
        <v>50</v>
      </c>
      <c r="L229" s="0" t="s">
        <v>50</v>
      </c>
      <c r="M229" s="0" t="s">
        <v>50</v>
      </c>
      <c r="N229" s="0" t="s">
        <v>50</v>
      </c>
      <c r="O229" s="0" t="s">
        <v>50</v>
      </c>
      <c r="P229" s="0" t="s">
        <v>50</v>
      </c>
    </row>
    <row r="230" customFormat="false" ht="15" hidden="false" customHeight="false" outlineLevel="0" collapsed="false">
      <c r="A230" s="0" t="s">
        <v>2925</v>
      </c>
      <c r="B230" s="0" t="s">
        <v>650</v>
      </c>
      <c r="C230" s="0" t="s">
        <v>2926</v>
      </c>
      <c r="D230" s="0" t="s">
        <v>652</v>
      </c>
      <c r="E230" s="0" t="s">
        <v>653</v>
      </c>
      <c r="F230" s="0" t="s">
        <v>2927</v>
      </c>
      <c r="G230" s="0" t="s">
        <v>2928</v>
      </c>
      <c r="H230" s="0" t="s">
        <v>2929</v>
      </c>
      <c r="I230" s="0" t="str">
        <f aca="false">HYPERLINK("https://omim.org/entry/152700", "152700")</f>
        <v>152700</v>
      </c>
      <c r="J230" s="0" t="str">
        <f aca="false">HYPERLINK("https://omim.org/entry/222100", "222100")</f>
        <v>222100</v>
      </c>
      <c r="K230" s="0" t="str">
        <f aca="false">HYPERLINK("https://omim.org/entry/180300", "180300")</f>
        <v>180300</v>
      </c>
      <c r="L230" s="0" t="str">
        <f aca="false">HYPERLINK("https://omim.org/entry/193200", "193200")</f>
        <v>193200</v>
      </c>
      <c r="M230" s="0" t="s">
        <v>50</v>
      </c>
      <c r="N230" s="0" t="s">
        <v>50</v>
      </c>
      <c r="O230" s="0" t="s">
        <v>50</v>
      </c>
      <c r="P230" s="0" t="s">
        <v>50</v>
      </c>
    </row>
    <row r="231" customFormat="false" ht="15" hidden="false" customHeight="false" outlineLevel="0" collapsed="false">
      <c r="A231" s="0" t="s">
        <v>2930</v>
      </c>
      <c r="B231" s="0" t="s">
        <v>705</v>
      </c>
      <c r="C231" s="0" t="s">
        <v>706</v>
      </c>
      <c r="D231" s="0" t="s">
        <v>707</v>
      </c>
      <c r="E231" s="0" t="s">
        <v>708</v>
      </c>
      <c r="F231" s="0" t="s">
        <v>50</v>
      </c>
      <c r="G231" s="0" t="s">
        <v>2931</v>
      </c>
      <c r="H231" s="0" t="s">
        <v>2932</v>
      </c>
      <c r="I231" s="0" t="str">
        <f aca="false">HYPERLINK("https://omim.org/entry/608971", "608971")</f>
        <v>608971</v>
      </c>
      <c r="J231" s="0" t="str">
        <f aca="false">HYPERLINK("https://omim.org/entry/126200", "126200")</f>
        <v>126200</v>
      </c>
      <c r="K231" s="0" t="s">
        <v>50</v>
      </c>
      <c r="L231" s="0" t="s">
        <v>50</v>
      </c>
      <c r="M231" s="0" t="s">
        <v>50</v>
      </c>
      <c r="N231" s="0" t="s">
        <v>50</v>
      </c>
      <c r="O231" s="0" t="s">
        <v>50</v>
      </c>
      <c r="P231" s="0" t="s">
        <v>50</v>
      </c>
    </row>
    <row r="232" customFormat="false" ht="15" hidden="false" customHeight="false" outlineLevel="0" collapsed="false">
      <c r="A232" s="0" t="s">
        <v>2933</v>
      </c>
      <c r="B232" s="0" t="s">
        <v>1027</v>
      </c>
      <c r="C232" s="0" t="s">
        <v>1028</v>
      </c>
      <c r="D232" s="0" t="s">
        <v>1029</v>
      </c>
      <c r="E232" s="0" t="s">
        <v>50</v>
      </c>
      <c r="F232" s="0" t="s">
        <v>50</v>
      </c>
      <c r="G232" s="0" t="s">
        <v>2934</v>
      </c>
      <c r="H232" s="0" t="s">
        <v>2935</v>
      </c>
      <c r="I232" s="0" t="s">
        <v>50</v>
      </c>
      <c r="J232" s="0" t="s">
        <v>50</v>
      </c>
      <c r="K232" s="0" t="s">
        <v>50</v>
      </c>
      <c r="L232" s="0" t="s">
        <v>50</v>
      </c>
      <c r="M232" s="0" t="s">
        <v>50</v>
      </c>
      <c r="N232" s="0" t="s">
        <v>50</v>
      </c>
      <c r="O232" s="0" t="s">
        <v>50</v>
      </c>
      <c r="P232" s="0" t="s">
        <v>50</v>
      </c>
    </row>
    <row r="233" customFormat="false" ht="15" hidden="false" customHeight="false" outlineLevel="0" collapsed="false">
      <c r="A233" s="0" t="s">
        <v>2936</v>
      </c>
      <c r="B233" s="0" t="s">
        <v>1140</v>
      </c>
      <c r="C233" s="0" t="s">
        <v>1141</v>
      </c>
      <c r="D233" s="0" t="s">
        <v>1142</v>
      </c>
      <c r="E233" s="0" t="s">
        <v>50</v>
      </c>
      <c r="F233" s="0" t="s">
        <v>50</v>
      </c>
      <c r="G233" s="0" t="s">
        <v>2937</v>
      </c>
      <c r="H233" s="0" t="s">
        <v>2938</v>
      </c>
      <c r="I233" s="0" t="s">
        <v>50</v>
      </c>
      <c r="J233" s="0" t="s">
        <v>50</v>
      </c>
      <c r="K233" s="0" t="s">
        <v>50</v>
      </c>
      <c r="L233" s="0" t="s">
        <v>50</v>
      </c>
      <c r="M233" s="0" t="s">
        <v>50</v>
      </c>
      <c r="N233" s="0" t="s">
        <v>50</v>
      </c>
      <c r="O233" s="0" t="s">
        <v>50</v>
      </c>
      <c r="P233" s="0" t="s">
        <v>50</v>
      </c>
    </row>
    <row r="234" customFormat="false" ht="15" hidden="false" customHeight="false" outlineLevel="0" collapsed="false">
      <c r="A234" s="0" t="s">
        <v>2939</v>
      </c>
      <c r="B234" s="0" t="s">
        <v>1955</v>
      </c>
      <c r="C234" s="0" t="s">
        <v>1956</v>
      </c>
      <c r="D234" s="0" t="s">
        <v>1957</v>
      </c>
      <c r="E234" s="0" t="s">
        <v>50</v>
      </c>
      <c r="F234" s="0" t="s">
        <v>2940</v>
      </c>
      <c r="G234" s="0" t="s">
        <v>2941</v>
      </c>
      <c r="H234" s="0" t="s">
        <v>2942</v>
      </c>
      <c r="I234" s="0" t="s">
        <v>50</v>
      </c>
      <c r="J234" s="0" t="s">
        <v>50</v>
      </c>
      <c r="K234" s="0" t="s">
        <v>50</v>
      </c>
      <c r="L234" s="0" t="s">
        <v>50</v>
      </c>
      <c r="M234" s="0" t="s">
        <v>50</v>
      </c>
      <c r="N234" s="0" t="s">
        <v>50</v>
      </c>
      <c r="O234" s="0" t="s">
        <v>50</v>
      </c>
      <c r="P234" s="0" t="s">
        <v>50</v>
      </c>
    </row>
    <row r="235" customFormat="false" ht="15" hidden="false" customHeight="false" outlineLevel="0" collapsed="false">
      <c r="A235" s="0" t="s">
        <v>2943</v>
      </c>
      <c r="B235" s="0" t="s">
        <v>369</v>
      </c>
      <c r="C235" s="0" t="s">
        <v>370</v>
      </c>
      <c r="D235" s="0" t="s">
        <v>371</v>
      </c>
      <c r="E235" s="0" t="s">
        <v>372</v>
      </c>
      <c r="F235" s="0" t="s">
        <v>50</v>
      </c>
      <c r="G235" s="0" t="s">
        <v>2944</v>
      </c>
      <c r="H235" s="0" t="s">
        <v>2945</v>
      </c>
      <c r="I235" s="0" t="str">
        <f aca="false">HYPERLINK("https://omim.org/entry/608033", "608033")</f>
        <v>608033</v>
      </c>
      <c r="J235" s="0" t="s">
        <v>50</v>
      </c>
      <c r="K235" s="0" t="s">
        <v>50</v>
      </c>
      <c r="L235" s="0" t="s">
        <v>50</v>
      </c>
      <c r="M235" s="0" t="s">
        <v>50</v>
      </c>
      <c r="N235" s="0" t="s">
        <v>50</v>
      </c>
      <c r="O235" s="0" t="s">
        <v>50</v>
      </c>
      <c r="P235" s="0" t="s">
        <v>50</v>
      </c>
    </row>
    <row r="236" customFormat="false" ht="15" hidden="false" customHeight="false" outlineLevel="0" collapsed="false">
      <c r="A236" s="0" t="s">
        <v>2946</v>
      </c>
      <c r="B236" s="0" t="s">
        <v>1549</v>
      </c>
      <c r="C236" s="0" t="s">
        <v>1550</v>
      </c>
      <c r="D236" s="0" t="s">
        <v>1551</v>
      </c>
      <c r="E236" s="0" t="s">
        <v>50</v>
      </c>
      <c r="F236" s="0" t="s">
        <v>50</v>
      </c>
      <c r="G236" s="0" t="s">
        <v>2947</v>
      </c>
      <c r="H236" s="0" t="s">
        <v>2948</v>
      </c>
      <c r="I236" s="0" t="s">
        <v>50</v>
      </c>
      <c r="J236" s="0" t="s">
        <v>50</v>
      </c>
      <c r="K236" s="0" t="s">
        <v>50</v>
      </c>
      <c r="L236" s="0" t="s">
        <v>50</v>
      </c>
      <c r="M236" s="0" t="s">
        <v>50</v>
      </c>
      <c r="N236" s="0" t="s">
        <v>50</v>
      </c>
      <c r="O236" s="0" t="s">
        <v>50</v>
      </c>
      <c r="P236" s="0" t="s">
        <v>50</v>
      </c>
    </row>
    <row r="237" customFormat="false" ht="15" hidden="false" customHeight="false" outlineLevel="0" collapsed="false">
      <c r="A237" s="0" t="s">
        <v>2949</v>
      </c>
      <c r="B237" s="0" t="s">
        <v>135</v>
      </c>
      <c r="C237" s="0" t="s">
        <v>136</v>
      </c>
      <c r="D237" s="0" t="s">
        <v>50</v>
      </c>
      <c r="E237" s="0" t="s">
        <v>50</v>
      </c>
      <c r="F237" s="0" t="s">
        <v>2950</v>
      </c>
      <c r="G237" s="0" t="s">
        <v>50</v>
      </c>
      <c r="H237" s="0" t="s">
        <v>50</v>
      </c>
      <c r="I237" s="0" t="s">
        <v>50</v>
      </c>
      <c r="J237" s="0" t="s">
        <v>50</v>
      </c>
      <c r="K237" s="0" t="s">
        <v>50</v>
      </c>
      <c r="L237" s="0" t="s">
        <v>50</v>
      </c>
      <c r="M237" s="0" t="s">
        <v>50</v>
      </c>
      <c r="N237" s="0" t="s">
        <v>50</v>
      </c>
      <c r="O237" s="0" t="s">
        <v>50</v>
      </c>
      <c r="P237" s="0" t="s">
        <v>50</v>
      </c>
    </row>
    <row r="238" customFormat="false" ht="15" hidden="false" customHeight="false" outlineLevel="0" collapsed="false">
      <c r="A238" s="0" t="s">
        <v>2951</v>
      </c>
      <c r="B238" s="0" t="s">
        <v>1991</v>
      </c>
      <c r="C238" s="0" t="s">
        <v>1992</v>
      </c>
      <c r="D238" s="0" t="s">
        <v>1993</v>
      </c>
      <c r="E238" s="0" t="s">
        <v>1994</v>
      </c>
      <c r="F238" s="0" t="s">
        <v>2952</v>
      </c>
      <c r="G238" s="0" t="s">
        <v>2953</v>
      </c>
      <c r="H238" s="0" t="s">
        <v>2954</v>
      </c>
      <c r="I238" s="0" t="str">
        <f aca="false">HYPERLINK("https://omim.org/entry/257320", "257320")</f>
        <v>257320</v>
      </c>
      <c r="J238" s="0" t="str">
        <f aca="false">HYPERLINK("https://omim.org/entry/616436", "616436")</f>
        <v>616436</v>
      </c>
      <c r="K238" s="0" t="s">
        <v>50</v>
      </c>
      <c r="L238" s="0" t="s">
        <v>50</v>
      </c>
      <c r="M238" s="0" t="s">
        <v>50</v>
      </c>
      <c r="N238" s="0" t="s">
        <v>50</v>
      </c>
      <c r="O238" s="0" t="s">
        <v>50</v>
      </c>
      <c r="P238" s="0" t="s">
        <v>50</v>
      </c>
    </row>
    <row r="239" customFormat="false" ht="15" hidden="false" customHeight="false" outlineLevel="0" collapsed="false">
      <c r="A239" s="0" t="s">
        <v>2955</v>
      </c>
      <c r="B239" s="0" t="s">
        <v>956</v>
      </c>
      <c r="C239" s="0" t="s">
        <v>957</v>
      </c>
      <c r="D239" s="0" t="s">
        <v>958</v>
      </c>
      <c r="E239" s="0" t="s">
        <v>50</v>
      </c>
      <c r="F239" s="0" t="s">
        <v>2956</v>
      </c>
      <c r="G239" s="0" t="s">
        <v>2957</v>
      </c>
      <c r="H239" s="0" t="s">
        <v>2958</v>
      </c>
      <c r="I239" s="0" t="s">
        <v>50</v>
      </c>
      <c r="J239" s="0" t="s">
        <v>50</v>
      </c>
      <c r="K239" s="0" t="s">
        <v>50</v>
      </c>
      <c r="L239" s="0" t="s">
        <v>50</v>
      </c>
      <c r="M239" s="0" t="s">
        <v>50</v>
      </c>
      <c r="N239" s="0" t="s">
        <v>50</v>
      </c>
      <c r="O239" s="0" t="s">
        <v>50</v>
      </c>
      <c r="P239" s="0" t="s">
        <v>50</v>
      </c>
    </row>
    <row r="240" customFormat="false" ht="15" hidden="false" customHeight="false" outlineLevel="0" collapsed="false">
      <c r="A240" s="0" t="s">
        <v>2959</v>
      </c>
      <c r="B240" s="0" t="s">
        <v>1925</v>
      </c>
      <c r="C240" s="0" t="s">
        <v>1926</v>
      </c>
      <c r="D240" s="0" t="s">
        <v>1927</v>
      </c>
      <c r="E240" s="0" t="s">
        <v>1928</v>
      </c>
      <c r="F240" s="0" t="s">
        <v>2960</v>
      </c>
      <c r="G240" s="0" t="s">
        <v>2961</v>
      </c>
      <c r="H240" s="0" t="s">
        <v>2962</v>
      </c>
      <c r="I240" s="0" t="str">
        <f aca="false">HYPERLINK("https://omim.org/entry/603649", "603649")</f>
        <v>603649</v>
      </c>
      <c r="J240" s="0" t="s">
        <v>50</v>
      </c>
      <c r="K240" s="0" t="s">
        <v>50</v>
      </c>
      <c r="L240" s="0" t="s">
        <v>50</v>
      </c>
      <c r="M240" s="0" t="s">
        <v>50</v>
      </c>
      <c r="N240" s="0" t="s">
        <v>50</v>
      </c>
      <c r="O240" s="0" t="s">
        <v>50</v>
      </c>
      <c r="P240" s="0" t="s">
        <v>50</v>
      </c>
    </row>
    <row r="241" customFormat="false" ht="15" hidden="false" customHeight="false" outlineLevel="0" collapsed="false">
      <c r="A241" s="0" t="s">
        <v>2963</v>
      </c>
      <c r="B241" s="0" t="s">
        <v>1086</v>
      </c>
      <c r="C241" s="0" t="s">
        <v>1087</v>
      </c>
      <c r="D241" s="0" t="s">
        <v>50</v>
      </c>
      <c r="E241" s="0" t="s">
        <v>50</v>
      </c>
      <c r="F241" s="0" t="s">
        <v>2964</v>
      </c>
      <c r="G241" s="0" t="s">
        <v>2965</v>
      </c>
      <c r="H241" s="0" t="s">
        <v>50</v>
      </c>
      <c r="I241" s="0" t="s">
        <v>50</v>
      </c>
      <c r="J241" s="0" t="s">
        <v>50</v>
      </c>
      <c r="K241" s="0" t="s">
        <v>50</v>
      </c>
      <c r="L241" s="0" t="s">
        <v>50</v>
      </c>
      <c r="M241" s="0" t="s">
        <v>50</v>
      </c>
      <c r="N241" s="0" t="s">
        <v>50</v>
      </c>
      <c r="O241" s="0" t="s">
        <v>50</v>
      </c>
      <c r="P241" s="0" t="s">
        <v>50</v>
      </c>
    </row>
    <row r="242" customFormat="false" ht="15" hidden="false" customHeight="false" outlineLevel="0" collapsed="false">
      <c r="A242" s="0" t="s">
        <v>2966</v>
      </c>
      <c r="B242" s="0" t="s">
        <v>2065</v>
      </c>
      <c r="C242" s="0" t="s">
        <v>2066</v>
      </c>
      <c r="D242" s="0" t="s">
        <v>2067</v>
      </c>
      <c r="E242" s="0" t="s">
        <v>2068</v>
      </c>
      <c r="F242" s="0" t="s">
        <v>2967</v>
      </c>
      <c r="G242" s="0" t="s">
        <v>2968</v>
      </c>
      <c r="H242" s="0" t="s">
        <v>2969</v>
      </c>
      <c r="I242" s="0" t="str">
        <f aca="false">HYPERLINK("https://omim.org/entry/180100", "180100")</f>
        <v>180100</v>
      </c>
      <c r="J242" s="0" t="s">
        <v>50</v>
      </c>
      <c r="K242" s="0" t="s">
        <v>50</v>
      </c>
      <c r="L242" s="0" t="s">
        <v>50</v>
      </c>
      <c r="M242" s="0" t="s">
        <v>50</v>
      </c>
      <c r="N242" s="0" t="s">
        <v>50</v>
      </c>
      <c r="O242" s="0" t="s">
        <v>50</v>
      </c>
      <c r="P242" s="0" t="s">
        <v>50</v>
      </c>
    </row>
    <row r="243" customFormat="false" ht="15" hidden="false" customHeight="false" outlineLevel="0" collapsed="false">
      <c r="A243" s="0" t="s">
        <v>2970</v>
      </c>
      <c r="B243" s="0" t="s">
        <v>638</v>
      </c>
      <c r="C243" s="0" t="s">
        <v>639</v>
      </c>
      <c r="D243" s="0" t="s">
        <v>640</v>
      </c>
      <c r="E243" s="0" t="s">
        <v>641</v>
      </c>
      <c r="F243" s="0" t="s">
        <v>50</v>
      </c>
      <c r="G243" s="0" t="s">
        <v>50</v>
      </c>
      <c r="H243" s="0" t="s">
        <v>50</v>
      </c>
      <c r="I243" s="0" t="str">
        <f aca="false">HYPERLINK("https://omim.org/entry/612561", "612561")</f>
        <v>612561</v>
      </c>
      <c r="J243" s="0" t="s">
        <v>50</v>
      </c>
      <c r="K243" s="0" t="s">
        <v>50</v>
      </c>
      <c r="L243" s="0" t="s">
        <v>50</v>
      </c>
      <c r="M243" s="0" t="s">
        <v>50</v>
      </c>
      <c r="N243" s="0" t="s">
        <v>50</v>
      </c>
      <c r="O243" s="0" t="s">
        <v>50</v>
      </c>
      <c r="P243" s="0" t="s">
        <v>50</v>
      </c>
    </row>
    <row r="244" customFormat="false" ht="15" hidden="false" customHeight="false" outlineLevel="0" collapsed="false">
      <c r="A244" s="0" t="s">
        <v>2971</v>
      </c>
      <c r="B244" s="0" t="s">
        <v>50</v>
      </c>
      <c r="C244" s="0" t="s">
        <v>2972</v>
      </c>
      <c r="D244" s="0" t="s">
        <v>50</v>
      </c>
      <c r="E244" s="0" t="s">
        <v>50</v>
      </c>
      <c r="F244" s="0" t="s">
        <v>50</v>
      </c>
      <c r="G244" s="0" t="s">
        <v>2973</v>
      </c>
      <c r="H244" s="0" t="s">
        <v>50</v>
      </c>
      <c r="I244" s="0" t="s">
        <v>50</v>
      </c>
      <c r="J244" s="0" t="s">
        <v>50</v>
      </c>
      <c r="K244" s="0" t="s">
        <v>50</v>
      </c>
      <c r="L244" s="0" t="s">
        <v>50</v>
      </c>
      <c r="M244" s="0" t="s">
        <v>50</v>
      </c>
      <c r="N244" s="0" t="s">
        <v>50</v>
      </c>
      <c r="O244" s="0" t="s">
        <v>50</v>
      </c>
      <c r="P244" s="0" t="s">
        <v>50</v>
      </c>
    </row>
    <row r="245" customFormat="false" ht="15" hidden="false" customHeight="false" outlineLevel="0" collapsed="false">
      <c r="A245" s="0" t="s">
        <v>2974</v>
      </c>
      <c r="B245" s="0" t="s">
        <v>50</v>
      </c>
      <c r="C245" s="0" t="s">
        <v>2975</v>
      </c>
      <c r="D245" s="0" t="s">
        <v>50</v>
      </c>
      <c r="E245" s="0" t="s">
        <v>50</v>
      </c>
      <c r="F245" s="0" t="s">
        <v>50</v>
      </c>
      <c r="G245" s="0" t="s">
        <v>2976</v>
      </c>
      <c r="H245" s="0" t="s">
        <v>50</v>
      </c>
      <c r="I245" s="0" t="s">
        <v>50</v>
      </c>
      <c r="J245" s="0" t="s">
        <v>50</v>
      </c>
      <c r="K245" s="0" t="s">
        <v>50</v>
      </c>
      <c r="L245" s="0" t="s">
        <v>50</v>
      </c>
      <c r="M245" s="0" t="s">
        <v>50</v>
      </c>
      <c r="N245" s="0" t="s">
        <v>50</v>
      </c>
      <c r="O245" s="0" t="s">
        <v>50</v>
      </c>
      <c r="P245" s="0" t="s">
        <v>50</v>
      </c>
    </row>
    <row r="246" customFormat="false" ht="15" hidden="false" customHeight="false" outlineLevel="0" collapsed="false">
      <c r="A246" s="0" t="s">
        <v>2977</v>
      </c>
      <c r="B246" s="0" t="s">
        <v>1566</v>
      </c>
      <c r="C246" s="0" t="s">
        <v>2978</v>
      </c>
      <c r="D246" s="0" t="s">
        <v>1568</v>
      </c>
      <c r="E246" s="0" t="s">
        <v>1569</v>
      </c>
      <c r="F246" s="0" t="s">
        <v>50</v>
      </c>
      <c r="G246" s="0" t="s">
        <v>50</v>
      </c>
      <c r="H246" s="0" t="s">
        <v>50</v>
      </c>
      <c r="I246" s="0" t="str">
        <f aca="false">HYPERLINK("https://omim.org/entry/615190", "615190")</f>
        <v>615190</v>
      </c>
      <c r="J246" s="0" t="str">
        <f aca="false">HYPERLINK("https://omim.org/entry/615190", "615190")</f>
        <v>615190</v>
      </c>
      <c r="K246" s="0" t="str">
        <f aca="false">HYPERLINK("https://omim.org/entry/616373", "616373")</f>
        <v>616373</v>
      </c>
      <c r="L246" s="0" t="s">
        <v>50</v>
      </c>
      <c r="M246" s="0" t="s">
        <v>50</v>
      </c>
      <c r="N246" s="0" t="s">
        <v>50</v>
      </c>
      <c r="O246" s="0" t="s">
        <v>50</v>
      </c>
      <c r="P246" s="0" t="s">
        <v>50</v>
      </c>
    </row>
    <row r="247" customFormat="false" ht="15" hidden="false" customHeight="false" outlineLevel="0" collapsed="false">
      <c r="A247" s="0" t="s">
        <v>2979</v>
      </c>
      <c r="B247" s="0" t="s">
        <v>50</v>
      </c>
      <c r="C247" s="0" t="s">
        <v>2980</v>
      </c>
      <c r="D247" s="0" t="s">
        <v>50</v>
      </c>
      <c r="E247" s="0" t="s">
        <v>50</v>
      </c>
      <c r="F247" s="0" t="s">
        <v>50</v>
      </c>
      <c r="G247" s="0" t="s">
        <v>50</v>
      </c>
      <c r="H247" s="0" t="s">
        <v>50</v>
      </c>
      <c r="I247" s="0" t="s">
        <v>50</v>
      </c>
      <c r="J247" s="0" t="s">
        <v>50</v>
      </c>
      <c r="K247" s="0" t="s">
        <v>50</v>
      </c>
      <c r="L247" s="0" t="s">
        <v>50</v>
      </c>
      <c r="M247" s="0" t="s">
        <v>50</v>
      </c>
      <c r="N247" s="0" t="s">
        <v>50</v>
      </c>
      <c r="O247" s="0" t="s">
        <v>50</v>
      </c>
      <c r="P247" s="0" t="s">
        <v>50</v>
      </c>
    </row>
    <row r="248" customFormat="false" ht="15" hidden="false" customHeight="false" outlineLevel="0" collapsed="false">
      <c r="A248" s="0" t="s">
        <v>2981</v>
      </c>
      <c r="B248" s="0" t="s">
        <v>772</v>
      </c>
      <c r="C248" s="0" t="s">
        <v>773</v>
      </c>
      <c r="D248" s="0" t="s">
        <v>774</v>
      </c>
      <c r="E248" s="0" t="s">
        <v>50</v>
      </c>
      <c r="F248" s="0" t="s">
        <v>2982</v>
      </c>
      <c r="G248" s="0" t="s">
        <v>2983</v>
      </c>
      <c r="H248" s="0" t="s">
        <v>2984</v>
      </c>
      <c r="I248" s="0" t="s">
        <v>50</v>
      </c>
      <c r="J248" s="0" t="s">
        <v>50</v>
      </c>
      <c r="K248" s="0" t="s">
        <v>50</v>
      </c>
      <c r="L248" s="0" t="s">
        <v>50</v>
      </c>
      <c r="M248" s="0" t="s">
        <v>50</v>
      </c>
      <c r="N248" s="0" t="s">
        <v>50</v>
      </c>
      <c r="O248" s="0" t="s">
        <v>50</v>
      </c>
      <c r="P248" s="0" t="s">
        <v>50</v>
      </c>
    </row>
    <row r="249" customFormat="false" ht="15" hidden="false" customHeight="false" outlineLevel="0" collapsed="false">
      <c r="A249" s="0" t="s">
        <v>2985</v>
      </c>
      <c r="B249" s="0" t="s">
        <v>1720</v>
      </c>
      <c r="C249" s="0" t="s">
        <v>1721</v>
      </c>
      <c r="D249" s="0" t="s">
        <v>1722</v>
      </c>
      <c r="E249" s="0" t="s">
        <v>50</v>
      </c>
      <c r="F249" s="0" t="s">
        <v>2986</v>
      </c>
      <c r="G249" s="0" t="s">
        <v>2987</v>
      </c>
      <c r="H249" s="0" t="s">
        <v>2988</v>
      </c>
      <c r="I249" s="0" t="s">
        <v>50</v>
      </c>
      <c r="J249" s="0" t="s">
        <v>50</v>
      </c>
      <c r="K249" s="0" t="s">
        <v>50</v>
      </c>
      <c r="L249" s="0" t="s">
        <v>50</v>
      </c>
      <c r="M249" s="0" t="s">
        <v>50</v>
      </c>
      <c r="N249" s="0" t="s">
        <v>50</v>
      </c>
      <c r="O249" s="0" t="s">
        <v>50</v>
      </c>
      <c r="P249" s="0" t="s">
        <v>50</v>
      </c>
    </row>
    <row r="250" customFormat="false" ht="15" hidden="false" customHeight="false" outlineLevel="0" collapsed="false">
      <c r="A250" s="0" t="s">
        <v>2989</v>
      </c>
      <c r="B250" s="0" t="s">
        <v>145</v>
      </c>
      <c r="C250" s="0" t="s">
        <v>146</v>
      </c>
      <c r="D250" s="0" t="s">
        <v>147</v>
      </c>
      <c r="E250" s="0" t="s">
        <v>148</v>
      </c>
      <c r="F250" s="0" t="s">
        <v>2990</v>
      </c>
      <c r="G250" s="0" t="s">
        <v>2991</v>
      </c>
      <c r="H250" s="0" t="s">
        <v>2992</v>
      </c>
      <c r="I250" s="0" t="str">
        <f aca="false">HYPERLINK("https://omim.org/entry/145600", "145600")</f>
        <v>145600</v>
      </c>
      <c r="J250" s="0" t="str">
        <f aca="false">HYPERLINK("https://omim.org/entry/117000", "117000")</f>
        <v>117000</v>
      </c>
      <c r="K250" s="0" t="str">
        <f aca="false">HYPERLINK("https://omim.org/entry/255320", "255320")</f>
        <v>255320</v>
      </c>
      <c r="L250" s="0" t="str">
        <f aca="false">HYPERLINK("https://omim.org/entry/255310", "255310")</f>
        <v>255310</v>
      </c>
      <c r="M250" s="0" t="s">
        <v>50</v>
      </c>
      <c r="N250" s="0" t="s">
        <v>50</v>
      </c>
      <c r="O250" s="0" t="s">
        <v>50</v>
      </c>
      <c r="P250" s="0" t="s">
        <v>50</v>
      </c>
    </row>
    <row r="251" customFormat="false" ht="15" hidden="false" customHeight="false" outlineLevel="0" collapsed="false">
      <c r="A251" s="0" t="s">
        <v>2993</v>
      </c>
      <c r="B251" s="0" t="s">
        <v>826</v>
      </c>
      <c r="C251" s="0" t="s">
        <v>2994</v>
      </c>
      <c r="D251" s="0" t="s">
        <v>828</v>
      </c>
      <c r="E251" s="0" t="s">
        <v>829</v>
      </c>
      <c r="F251" s="0" t="s">
        <v>2995</v>
      </c>
      <c r="G251" s="0" t="s">
        <v>2996</v>
      </c>
      <c r="H251" s="0" t="s">
        <v>50</v>
      </c>
      <c r="I251" s="0" t="s">
        <v>50</v>
      </c>
      <c r="J251" s="0" t="s">
        <v>50</v>
      </c>
      <c r="K251" s="0" t="s">
        <v>50</v>
      </c>
      <c r="L251" s="0" t="s">
        <v>50</v>
      </c>
      <c r="M251" s="0" t="s">
        <v>50</v>
      </c>
      <c r="N251" s="0" t="s">
        <v>50</v>
      </c>
      <c r="O251" s="0" t="s">
        <v>50</v>
      </c>
      <c r="P251" s="0" t="s">
        <v>50</v>
      </c>
    </row>
    <row r="252" customFormat="false" ht="15" hidden="false" customHeight="false" outlineLevel="0" collapsed="false">
      <c r="A252" s="0" t="s">
        <v>2997</v>
      </c>
      <c r="B252" s="0" t="s">
        <v>50</v>
      </c>
      <c r="C252" s="0" t="s">
        <v>2998</v>
      </c>
      <c r="D252" s="0" t="s">
        <v>50</v>
      </c>
      <c r="E252" s="0" t="s">
        <v>50</v>
      </c>
      <c r="F252" s="0" t="s">
        <v>50</v>
      </c>
      <c r="G252" s="0" t="s">
        <v>50</v>
      </c>
      <c r="H252" s="0" t="s">
        <v>50</v>
      </c>
      <c r="I252" s="0" t="s">
        <v>50</v>
      </c>
      <c r="J252" s="0" t="s">
        <v>50</v>
      </c>
      <c r="K252" s="0" t="s">
        <v>50</v>
      </c>
      <c r="L252" s="0" t="s">
        <v>50</v>
      </c>
      <c r="M252" s="0" t="s">
        <v>50</v>
      </c>
      <c r="N252" s="0" t="s">
        <v>50</v>
      </c>
      <c r="O252" s="0" t="s">
        <v>50</v>
      </c>
      <c r="P252" s="0" t="s">
        <v>50</v>
      </c>
    </row>
    <row r="253" customFormat="false" ht="15" hidden="false" customHeight="false" outlineLevel="0" collapsed="false">
      <c r="A253" s="0" t="s">
        <v>2999</v>
      </c>
      <c r="B253" s="0" t="s">
        <v>2117</v>
      </c>
      <c r="C253" s="0" t="s">
        <v>2118</v>
      </c>
      <c r="D253" s="0" t="s">
        <v>2119</v>
      </c>
      <c r="E253" s="0" t="s">
        <v>50</v>
      </c>
      <c r="F253" s="0" t="s">
        <v>50</v>
      </c>
      <c r="G253" s="0" t="s">
        <v>3000</v>
      </c>
      <c r="H253" s="0" t="s">
        <v>3001</v>
      </c>
      <c r="I253" s="0" t="s">
        <v>50</v>
      </c>
      <c r="J253" s="0" t="s">
        <v>50</v>
      </c>
      <c r="K253" s="0" t="s">
        <v>50</v>
      </c>
      <c r="L253" s="0" t="s">
        <v>50</v>
      </c>
      <c r="M253" s="0" t="s">
        <v>50</v>
      </c>
      <c r="N253" s="0" t="s">
        <v>50</v>
      </c>
      <c r="O253" s="0" t="s">
        <v>50</v>
      </c>
      <c r="P253" s="0" t="s">
        <v>50</v>
      </c>
    </row>
    <row r="254" customFormat="false" ht="15" hidden="false" customHeight="false" outlineLevel="0" collapsed="false">
      <c r="A254" s="0" t="s">
        <v>3002</v>
      </c>
      <c r="B254" s="0" t="s">
        <v>1642</v>
      </c>
      <c r="C254" s="0" t="s">
        <v>1643</v>
      </c>
      <c r="D254" s="0" t="s">
        <v>1644</v>
      </c>
      <c r="E254" s="0" t="s">
        <v>50</v>
      </c>
      <c r="F254" s="0" t="s">
        <v>50</v>
      </c>
      <c r="G254" s="0" t="s">
        <v>3003</v>
      </c>
      <c r="H254" s="0" t="s">
        <v>50</v>
      </c>
      <c r="I254" s="0" t="s">
        <v>50</v>
      </c>
      <c r="J254" s="0" t="s">
        <v>50</v>
      </c>
      <c r="K254" s="0" t="s">
        <v>50</v>
      </c>
      <c r="L254" s="0" t="s">
        <v>50</v>
      </c>
      <c r="M254" s="0" t="s">
        <v>50</v>
      </c>
      <c r="N254" s="0" t="s">
        <v>50</v>
      </c>
      <c r="O254" s="0" t="s">
        <v>50</v>
      </c>
      <c r="P254" s="0" t="s">
        <v>50</v>
      </c>
    </row>
    <row r="255" customFormat="false" ht="15" hidden="false" customHeight="false" outlineLevel="0" collapsed="false">
      <c r="A255" s="0" t="s">
        <v>3004</v>
      </c>
      <c r="B255" s="0" t="s">
        <v>1802</v>
      </c>
      <c r="C255" s="0" t="s">
        <v>1803</v>
      </c>
      <c r="D255" s="0" t="s">
        <v>1804</v>
      </c>
      <c r="E255" s="0" t="s">
        <v>50</v>
      </c>
      <c r="F255" s="0" t="s">
        <v>3005</v>
      </c>
      <c r="G255" s="0" t="s">
        <v>3006</v>
      </c>
      <c r="H255" s="0" t="s">
        <v>3007</v>
      </c>
      <c r="I255" s="0" t="s">
        <v>50</v>
      </c>
      <c r="J255" s="0" t="s">
        <v>50</v>
      </c>
      <c r="K255" s="0" t="s">
        <v>50</v>
      </c>
      <c r="L255" s="0" t="s">
        <v>50</v>
      </c>
      <c r="M255" s="0" t="s">
        <v>50</v>
      </c>
      <c r="N255" s="0" t="s">
        <v>50</v>
      </c>
      <c r="O255" s="0" t="s">
        <v>50</v>
      </c>
      <c r="P255" s="0" t="s">
        <v>50</v>
      </c>
    </row>
    <row r="256" customFormat="false" ht="15" hidden="false" customHeight="false" outlineLevel="0" collapsed="false">
      <c r="A256" s="0" t="s">
        <v>3008</v>
      </c>
      <c r="B256" s="0" t="s">
        <v>1518</v>
      </c>
      <c r="C256" s="0" t="s">
        <v>1519</v>
      </c>
      <c r="D256" s="0" t="s">
        <v>1520</v>
      </c>
      <c r="E256" s="0" t="s">
        <v>50</v>
      </c>
      <c r="F256" s="0" t="s">
        <v>3009</v>
      </c>
      <c r="G256" s="0" t="s">
        <v>3010</v>
      </c>
      <c r="H256" s="0" t="s">
        <v>3011</v>
      </c>
      <c r="I256" s="0" t="s">
        <v>50</v>
      </c>
      <c r="J256" s="0" t="s">
        <v>50</v>
      </c>
      <c r="K256" s="0" t="s">
        <v>50</v>
      </c>
      <c r="L256" s="0" t="s">
        <v>50</v>
      </c>
      <c r="M256" s="0" t="s">
        <v>50</v>
      </c>
      <c r="N256" s="0" t="s">
        <v>50</v>
      </c>
      <c r="O256" s="0" t="s">
        <v>50</v>
      </c>
      <c r="P256" s="0" t="s">
        <v>50</v>
      </c>
    </row>
    <row r="257" customFormat="false" ht="15" hidden="false" customHeight="false" outlineLevel="0" collapsed="false">
      <c r="A257" s="0" t="s">
        <v>3012</v>
      </c>
      <c r="B257" s="0" t="s">
        <v>83</v>
      </c>
      <c r="C257" s="0" t="s">
        <v>84</v>
      </c>
      <c r="D257" s="0" t="s">
        <v>85</v>
      </c>
      <c r="E257" s="0" t="s">
        <v>86</v>
      </c>
      <c r="F257" s="0" t="s">
        <v>50</v>
      </c>
      <c r="G257" s="0" t="s">
        <v>3013</v>
      </c>
      <c r="H257" s="0" t="s">
        <v>3014</v>
      </c>
      <c r="I257" s="0" t="str">
        <f aca="false">HYPERLINK("https://omim.org/entry/106100", "106100")</f>
        <v>106100</v>
      </c>
      <c r="J257" s="0" t="s">
        <v>50</v>
      </c>
      <c r="K257" s="0" t="s">
        <v>50</v>
      </c>
      <c r="L257" s="0" t="s">
        <v>50</v>
      </c>
      <c r="M257" s="0" t="s">
        <v>50</v>
      </c>
      <c r="N257" s="0" t="s">
        <v>50</v>
      </c>
      <c r="O257" s="0" t="s">
        <v>50</v>
      </c>
      <c r="P257" s="0" t="s">
        <v>50</v>
      </c>
    </row>
    <row r="258" customFormat="false" ht="15" hidden="false" customHeight="false" outlineLevel="0" collapsed="false">
      <c r="A258" s="0" t="s">
        <v>3015</v>
      </c>
      <c r="B258" s="0" t="s">
        <v>865</v>
      </c>
      <c r="C258" s="0" t="s">
        <v>866</v>
      </c>
      <c r="D258" s="0" t="s">
        <v>50</v>
      </c>
      <c r="E258" s="0" t="s">
        <v>50</v>
      </c>
      <c r="F258" s="0" t="s">
        <v>50</v>
      </c>
      <c r="G258" s="0" t="s">
        <v>3016</v>
      </c>
      <c r="H258" s="0" t="s">
        <v>3017</v>
      </c>
      <c r="I258" s="0" t="s">
        <v>50</v>
      </c>
      <c r="J258" s="0" t="s">
        <v>50</v>
      </c>
      <c r="K258" s="0" t="s">
        <v>50</v>
      </c>
      <c r="L258" s="0" t="s">
        <v>50</v>
      </c>
      <c r="M258" s="0" t="s">
        <v>50</v>
      </c>
      <c r="N258" s="0" t="s">
        <v>50</v>
      </c>
      <c r="O258" s="0" t="s">
        <v>50</v>
      </c>
      <c r="P258" s="0" t="s">
        <v>50</v>
      </c>
    </row>
    <row r="259" customFormat="false" ht="15" hidden="false" customHeight="false" outlineLevel="0" collapsed="false">
      <c r="A259" s="0" t="s">
        <v>3018</v>
      </c>
      <c r="B259" s="0" t="s">
        <v>1169</v>
      </c>
      <c r="C259" s="0" t="s">
        <v>1170</v>
      </c>
      <c r="D259" s="0" t="s">
        <v>1171</v>
      </c>
      <c r="E259" s="0" t="s">
        <v>1172</v>
      </c>
      <c r="F259" s="0" t="s">
        <v>3019</v>
      </c>
      <c r="G259" s="0" t="s">
        <v>3020</v>
      </c>
      <c r="H259" s="0" t="s">
        <v>50</v>
      </c>
      <c r="I259" s="0" t="str">
        <f aca="false">HYPERLINK("https://omim.org/entry/613710", "613710")</f>
        <v>613710</v>
      </c>
      <c r="J259" s="0" t="s">
        <v>50</v>
      </c>
      <c r="K259" s="0" t="s">
        <v>50</v>
      </c>
      <c r="L259" s="0" t="s">
        <v>50</v>
      </c>
      <c r="M259" s="0" t="s">
        <v>50</v>
      </c>
      <c r="N259" s="0" t="s">
        <v>50</v>
      </c>
      <c r="O259" s="0" t="s">
        <v>50</v>
      </c>
      <c r="P259" s="0" t="s">
        <v>50</v>
      </c>
    </row>
    <row r="260" customFormat="false" ht="15" hidden="false" customHeight="false" outlineLevel="0" collapsed="false">
      <c r="A260" s="0" t="s">
        <v>3021</v>
      </c>
      <c r="B260" s="0" t="s">
        <v>685</v>
      </c>
      <c r="C260" s="0" t="s">
        <v>686</v>
      </c>
      <c r="D260" s="0" t="s">
        <v>687</v>
      </c>
      <c r="E260" s="0" t="s">
        <v>50</v>
      </c>
      <c r="F260" s="0" t="s">
        <v>50</v>
      </c>
      <c r="G260" s="0" t="s">
        <v>3022</v>
      </c>
      <c r="H260" s="0" t="s">
        <v>3023</v>
      </c>
      <c r="I260" s="0" t="s">
        <v>50</v>
      </c>
      <c r="J260" s="0" t="s">
        <v>50</v>
      </c>
      <c r="K260" s="0" t="s">
        <v>50</v>
      </c>
      <c r="L260" s="0" t="s">
        <v>50</v>
      </c>
      <c r="M260" s="0" t="s">
        <v>50</v>
      </c>
      <c r="N260" s="0" t="s">
        <v>50</v>
      </c>
      <c r="O260" s="0" t="s">
        <v>50</v>
      </c>
      <c r="P260" s="0" t="s">
        <v>50</v>
      </c>
    </row>
    <row r="261" customFormat="false" ht="15" hidden="false" customHeight="false" outlineLevel="0" collapsed="false">
      <c r="A261" s="0" t="s">
        <v>3024</v>
      </c>
      <c r="B261" s="0" t="s">
        <v>986</v>
      </c>
      <c r="C261" s="0" t="s">
        <v>987</v>
      </c>
      <c r="D261" s="0" t="s">
        <v>988</v>
      </c>
      <c r="E261" s="0" t="s">
        <v>50</v>
      </c>
      <c r="F261" s="0" t="s">
        <v>50</v>
      </c>
      <c r="G261" s="0" t="s">
        <v>3025</v>
      </c>
      <c r="H261" s="0" t="s">
        <v>50</v>
      </c>
      <c r="I261" s="0" t="s">
        <v>50</v>
      </c>
      <c r="J261" s="0" t="s">
        <v>50</v>
      </c>
      <c r="K261" s="0" t="s">
        <v>50</v>
      </c>
      <c r="L261" s="0" t="s">
        <v>50</v>
      </c>
      <c r="M261" s="0" t="s">
        <v>50</v>
      </c>
      <c r="N261" s="0" t="s">
        <v>50</v>
      </c>
      <c r="O261" s="0" t="s">
        <v>50</v>
      </c>
      <c r="P261" s="0" t="s">
        <v>50</v>
      </c>
    </row>
    <row r="262" customFormat="false" ht="15" hidden="false" customHeight="false" outlineLevel="0" collapsed="false">
      <c r="A262" s="0" t="s">
        <v>3026</v>
      </c>
      <c r="B262" s="0" t="s">
        <v>2090</v>
      </c>
      <c r="C262" s="0" t="s">
        <v>2091</v>
      </c>
      <c r="D262" s="0" t="s">
        <v>2092</v>
      </c>
      <c r="E262" s="0" t="s">
        <v>50</v>
      </c>
      <c r="F262" s="0" t="s">
        <v>3027</v>
      </c>
      <c r="G262" s="0" t="s">
        <v>3028</v>
      </c>
      <c r="H262" s="0" t="s">
        <v>3029</v>
      </c>
      <c r="I262" s="0" t="s">
        <v>50</v>
      </c>
      <c r="J262" s="0" t="s">
        <v>50</v>
      </c>
      <c r="K262" s="0" t="s">
        <v>50</v>
      </c>
      <c r="L262" s="0" t="s">
        <v>50</v>
      </c>
      <c r="M262" s="0" t="s">
        <v>50</v>
      </c>
      <c r="N262" s="0" t="s">
        <v>50</v>
      </c>
      <c r="O262" s="0" t="s">
        <v>50</v>
      </c>
      <c r="P262" s="0" t="s">
        <v>50</v>
      </c>
    </row>
    <row r="263" customFormat="false" ht="15" hidden="false" customHeight="false" outlineLevel="0" collapsed="false">
      <c r="A263" s="0" t="s">
        <v>3030</v>
      </c>
      <c r="B263" s="0" t="s">
        <v>446</v>
      </c>
      <c r="C263" s="0" t="s">
        <v>447</v>
      </c>
      <c r="D263" s="0" t="s">
        <v>448</v>
      </c>
      <c r="E263" s="0" t="s">
        <v>449</v>
      </c>
      <c r="F263" s="0" t="s">
        <v>3031</v>
      </c>
      <c r="G263" s="0" t="s">
        <v>3032</v>
      </c>
      <c r="H263" s="0" t="s">
        <v>3033</v>
      </c>
      <c r="I263" s="0" t="str">
        <f aca="false">HYPERLINK("https://omim.org/entry/615946", "615946")</f>
        <v>615946</v>
      </c>
      <c r="J263" s="0" t="s">
        <v>50</v>
      </c>
      <c r="K263" s="0" t="s">
        <v>50</v>
      </c>
      <c r="L263" s="0" t="s">
        <v>50</v>
      </c>
      <c r="M263" s="0" t="s">
        <v>50</v>
      </c>
      <c r="N263" s="0" t="s">
        <v>50</v>
      </c>
      <c r="O263" s="0" t="s">
        <v>50</v>
      </c>
      <c r="P263" s="0" t="s">
        <v>50</v>
      </c>
    </row>
    <row r="264" customFormat="false" ht="15" hidden="false" customHeight="false" outlineLevel="0" collapsed="false">
      <c r="A264" s="0" t="s">
        <v>3034</v>
      </c>
      <c r="B264" s="0" t="s">
        <v>539</v>
      </c>
      <c r="C264" s="0" t="s">
        <v>540</v>
      </c>
      <c r="D264" s="0" t="s">
        <v>50</v>
      </c>
      <c r="E264" s="0" t="s">
        <v>50</v>
      </c>
      <c r="F264" s="0" t="s">
        <v>3035</v>
      </c>
      <c r="G264" s="0" t="s">
        <v>3036</v>
      </c>
      <c r="H264" s="0" t="s">
        <v>3037</v>
      </c>
      <c r="I264" s="0" t="s">
        <v>50</v>
      </c>
      <c r="J264" s="0" t="s">
        <v>50</v>
      </c>
      <c r="K264" s="0" t="s">
        <v>50</v>
      </c>
      <c r="L264" s="0" t="s">
        <v>50</v>
      </c>
      <c r="M264" s="0" t="s">
        <v>50</v>
      </c>
      <c r="N264" s="0" t="s">
        <v>50</v>
      </c>
      <c r="O264" s="0" t="s">
        <v>50</v>
      </c>
      <c r="P264" s="0" t="s">
        <v>50</v>
      </c>
    </row>
    <row r="265" customFormat="false" ht="15" hidden="false" customHeight="false" outlineLevel="0" collapsed="false">
      <c r="A265" s="0" t="s">
        <v>3038</v>
      </c>
      <c r="B265" s="0" t="s">
        <v>1175</v>
      </c>
      <c r="C265" s="0" t="s">
        <v>1176</v>
      </c>
      <c r="D265" s="0" t="s">
        <v>1177</v>
      </c>
      <c r="E265" s="0" t="s">
        <v>1178</v>
      </c>
      <c r="F265" s="0" t="s">
        <v>50</v>
      </c>
      <c r="G265" s="0" t="s">
        <v>3039</v>
      </c>
      <c r="H265" s="0" t="s">
        <v>3040</v>
      </c>
      <c r="I265" s="0" t="str">
        <f aca="false">HYPERLINK("https://omim.org/entry/158901", "158901")</f>
        <v>158901</v>
      </c>
      <c r="J265" s="0" t="s">
        <v>50</v>
      </c>
      <c r="K265" s="0" t="s">
        <v>50</v>
      </c>
      <c r="L265" s="0" t="s">
        <v>50</v>
      </c>
      <c r="M265" s="0" t="s">
        <v>50</v>
      </c>
      <c r="N265" s="0" t="s">
        <v>50</v>
      </c>
      <c r="O265" s="0" t="s">
        <v>50</v>
      </c>
      <c r="P265" s="0" t="s">
        <v>50</v>
      </c>
    </row>
    <row r="266" customFormat="false" ht="15" hidden="false" customHeight="false" outlineLevel="0" collapsed="false">
      <c r="A266" s="0" t="s">
        <v>3041</v>
      </c>
      <c r="B266" s="0" t="s">
        <v>2109</v>
      </c>
      <c r="C266" s="0" t="s">
        <v>2110</v>
      </c>
      <c r="D266" s="0" t="s">
        <v>50</v>
      </c>
      <c r="E266" s="0" t="s">
        <v>50</v>
      </c>
      <c r="F266" s="0" t="s">
        <v>50</v>
      </c>
      <c r="G266" s="0" t="s">
        <v>50</v>
      </c>
      <c r="H266" s="0" t="s">
        <v>50</v>
      </c>
      <c r="I266" s="0" t="s">
        <v>50</v>
      </c>
      <c r="J266" s="0" t="s">
        <v>50</v>
      </c>
      <c r="K266" s="0" t="s">
        <v>50</v>
      </c>
      <c r="L266" s="0" t="s">
        <v>50</v>
      </c>
      <c r="M266" s="0" t="s">
        <v>50</v>
      </c>
      <c r="N266" s="0" t="s">
        <v>50</v>
      </c>
      <c r="O266" s="0" t="s">
        <v>50</v>
      </c>
      <c r="P266" s="0" t="s">
        <v>50</v>
      </c>
    </row>
    <row r="267" customFormat="false" ht="15" hidden="false" customHeight="false" outlineLevel="0" collapsed="false">
      <c r="A267" s="0" t="s">
        <v>3042</v>
      </c>
      <c r="B267" s="0" t="s">
        <v>50</v>
      </c>
      <c r="C267" s="0" t="s">
        <v>1524</v>
      </c>
      <c r="D267" s="0" t="s">
        <v>50</v>
      </c>
      <c r="E267" s="0" t="s">
        <v>50</v>
      </c>
      <c r="F267" s="0" t="s">
        <v>50</v>
      </c>
      <c r="G267" s="0" t="s">
        <v>50</v>
      </c>
      <c r="H267" s="0" t="s">
        <v>50</v>
      </c>
      <c r="I267" s="0" t="s">
        <v>50</v>
      </c>
      <c r="J267" s="0" t="s">
        <v>50</v>
      </c>
      <c r="K267" s="0" t="s">
        <v>50</v>
      </c>
      <c r="L267" s="0" t="s">
        <v>50</v>
      </c>
      <c r="M267" s="0" t="s">
        <v>50</v>
      </c>
      <c r="N267" s="0" t="s">
        <v>50</v>
      </c>
      <c r="O267" s="0" t="s">
        <v>50</v>
      </c>
      <c r="P267" s="0" t="s">
        <v>50</v>
      </c>
    </row>
    <row r="268" customFormat="false" ht="15" hidden="false" customHeight="false" outlineLevel="0" collapsed="false">
      <c r="A268" s="0" t="s">
        <v>3043</v>
      </c>
      <c r="B268" s="0" t="s">
        <v>1788</v>
      </c>
      <c r="C268" s="0" t="s">
        <v>1789</v>
      </c>
      <c r="D268" s="0" t="s">
        <v>1790</v>
      </c>
      <c r="E268" s="0" t="s">
        <v>1791</v>
      </c>
      <c r="F268" s="0" t="s">
        <v>3044</v>
      </c>
      <c r="G268" s="0" t="s">
        <v>3045</v>
      </c>
      <c r="H268" s="0" t="s">
        <v>3046</v>
      </c>
      <c r="I268" s="0" t="str">
        <f aca="false">HYPERLINK("https://omim.org/entry/168601", "168601")</f>
        <v>168601</v>
      </c>
      <c r="J268" s="0" t="str">
        <f aca="false">HYPERLINK("https://omim.org/entry/605543", "605543")</f>
        <v>605543</v>
      </c>
      <c r="K268" s="0" t="str">
        <f aca="false">HYPERLINK("https://omim.org/entry/127750", "127750")</f>
        <v>127750</v>
      </c>
      <c r="L268" s="0" t="s">
        <v>50</v>
      </c>
      <c r="M268" s="0" t="s">
        <v>50</v>
      </c>
      <c r="N268" s="0" t="s">
        <v>50</v>
      </c>
      <c r="O268" s="0" t="s">
        <v>50</v>
      </c>
      <c r="P268" s="0" t="s">
        <v>50</v>
      </c>
    </row>
    <row r="269" customFormat="false" ht="15" hidden="false" customHeight="false" outlineLevel="0" collapsed="false">
      <c r="A269" s="0" t="s">
        <v>3047</v>
      </c>
      <c r="B269" s="0" t="s">
        <v>50</v>
      </c>
      <c r="C269" s="0" t="s">
        <v>3048</v>
      </c>
      <c r="D269" s="0" t="s">
        <v>50</v>
      </c>
      <c r="E269" s="0" t="s">
        <v>50</v>
      </c>
      <c r="F269" s="0" t="s">
        <v>50</v>
      </c>
      <c r="G269" s="0" t="s">
        <v>50</v>
      </c>
      <c r="H269" s="0" t="s">
        <v>50</v>
      </c>
      <c r="I269" s="0" t="s">
        <v>50</v>
      </c>
      <c r="J269" s="0" t="s">
        <v>50</v>
      </c>
      <c r="K269" s="0" t="s">
        <v>50</v>
      </c>
      <c r="L269" s="0" t="s">
        <v>50</v>
      </c>
      <c r="M269" s="0" t="s">
        <v>50</v>
      </c>
      <c r="N269" s="0" t="s">
        <v>50</v>
      </c>
      <c r="O269" s="0" t="s">
        <v>50</v>
      </c>
      <c r="P269" s="0" t="s">
        <v>50</v>
      </c>
    </row>
    <row r="270" customFormat="false" ht="15" hidden="false" customHeight="false" outlineLevel="0" collapsed="false">
      <c r="A270" s="0" t="s">
        <v>3049</v>
      </c>
      <c r="B270" s="0" t="s">
        <v>50</v>
      </c>
      <c r="C270" s="0" t="s">
        <v>3050</v>
      </c>
      <c r="D270" s="0" t="s">
        <v>50</v>
      </c>
      <c r="E270" s="0" t="s">
        <v>50</v>
      </c>
      <c r="F270" s="0" t="s">
        <v>50</v>
      </c>
      <c r="G270" s="0" t="s">
        <v>50</v>
      </c>
      <c r="H270" s="0" t="s">
        <v>50</v>
      </c>
      <c r="I270" s="0" t="s">
        <v>50</v>
      </c>
      <c r="J270" s="0" t="s">
        <v>50</v>
      </c>
      <c r="K270" s="0" t="s">
        <v>50</v>
      </c>
      <c r="L270" s="0" t="s">
        <v>50</v>
      </c>
      <c r="M270" s="0" t="s">
        <v>50</v>
      </c>
      <c r="N270" s="0" t="s">
        <v>50</v>
      </c>
      <c r="O270" s="0" t="s">
        <v>50</v>
      </c>
      <c r="P270" s="0" t="s">
        <v>50</v>
      </c>
    </row>
    <row r="271" customFormat="false" ht="15" hidden="false" customHeight="false" outlineLevel="0" collapsed="false">
      <c r="A271" s="0" t="s">
        <v>3051</v>
      </c>
      <c r="B271" s="0" t="s">
        <v>1814</v>
      </c>
      <c r="C271" s="0" t="s">
        <v>1815</v>
      </c>
      <c r="D271" s="0" t="s">
        <v>1816</v>
      </c>
      <c r="E271" s="0" t="s">
        <v>50</v>
      </c>
      <c r="F271" s="0" t="s">
        <v>3052</v>
      </c>
      <c r="G271" s="0" t="s">
        <v>3053</v>
      </c>
      <c r="H271" s="0" t="s">
        <v>3054</v>
      </c>
      <c r="I271" s="0" t="s">
        <v>50</v>
      </c>
      <c r="J271" s="0" t="s">
        <v>50</v>
      </c>
      <c r="K271" s="0" t="s">
        <v>50</v>
      </c>
      <c r="L271" s="0" t="s">
        <v>50</v>
      </c>
      <c r="M271" s="0" t="s">
        <v>50</v>
      </c>
      <c r="N271" s="0" t="s">
        <v>50</v>
      </c>
      <c r="O271" s="0" t="s">
        <v>50</v>
      </c>
      <c r="P271" s="0" t="s">
        <v>50</v>
      </c>
    </row>
    <row r="272" customFormat="false" ht="15" hidden="false" customHeight="false" outlineLevel="0" collapsed="false">
      <c r="A272" s="0" t="s">
        <v>3055</v>
      </c>
      <c r="B272" s="0" t="s">
        <v>1510</v>
      </c>
      <c r="C272" s="0" t="s">
        <v>1511</v>
      </c>
      <c r="D272" s="0" t="s">
        <v>1512</v>
      </c>
      <c r="E272" s="0" t="s">
        <v>1513</v>
      </c>
      <c r="F272" s="0" t="s">
        <v>3056</v>
      </c>
      <c r="G272" s="0" t="s">
        <v>3057</v>
      </c>
      <c r="H272" s="0" t="s">
        <v>3058</v>
      </c>
      <c r="I272" s="0" t="str">
        <f aca="false">HYPERLINK("https://omim.org/entry/235550", "235550")</f>
        <v>235550</v>
      </c>
      <c r="J272" s="0" t="s">
        <v>50</v>
      </c>
      <c r="K272" s="0" t="s">
        <v>50</v>
      </c>
      <c r="L272" s="0" t="s">
        <v>50</v>
      </c>
      <c r="M272" s="0" t="s">
        <v>50</v>
      </c>
      <c r="N272" s="0" t="s">
        <v>50</v>
      </c>
      <c r="O272" s="0" t="s">
        <v>50</v>
      </c>
      <c r="P272" s="0" t="s">
        <v>50</v>
      </c>
    </row>
    <row r="273" customFormat="false" ht="15" hidden="false" customHeight="false" outlineLevel="0" collapsed="false">
      <c r="A273" s="0" t="s">
        <v>3059</v>
      </c>
      <c r="B273" s="0" t="s">
        <v>579</v>
      </c>
      <c r="C273" s="0" t="s">
        <v>580</v>
      </c>
      <c r="D273" s="0" t="s">
        <v>581</v>
      </c>
      <c r="E273" s="0" t="s">
        <v>50</v>
      </c>
      <c r="F273" s="0" t="s">
        <v>3060</v>
      </c>
      <c r="G273" s="0" t="s">
        <v>3061</v>
      </c>
      <c r="H273" s="0" t="s">
        <v>3062</v>
      </c>
      <c r="I273" s="0" t="s">
        <v>50</v>
      </c>
      <c r="J273" s="0" t="s">
        <v>50</v>
      </c>
      <c r="K273" s="0" t="s">
        <v>50</v>
      </c>
      <c r="L273" s="0" t="s">
        <v>50</v>
      </c>
      <c r="M273" s="0" t="s">
        <v>50</v>
      </c>
      <c r="N273" s="0" t="s">
        <v>50</v>
      </c>
      <c r="O273" s="0" t="s">
        <v>50</v>
      </c>
      <c r="P273" s="0" t="s">
        <v>50</v>
      </c>
    </row>
    <row r="274" customFormat="false" ht="15" hidden="false" customHeight="false" outlineLevel="0" collapsed="false">
      <c r="A274" s="0" t="s">
        <v>3063</v>
      </c>
      <c r="B274" s="0" t="s">
        <v>2201</v>
      </c>
      <c r="C274" s="0" t="s">
        <v>2202</v>
      </c>
      <c r="D274" s="0" t="s">
        <v>50</v>
      </c>
      <c r="E274" s="0" t="s">
        <v>50</v>
      </c>
      <c r="F274" s="0" t="s">
        <v>3064</v>
      </c>
      <c r="G274" s="0" t="s">
        <v>3065</v>
      </c>
      <c r="H274" s="0" t="s">
        <v>50</v>
      </c>
      <c r="I274" s="0" t="s">
        <v>50</v>
      </c>
      <c r="J274" s="0" t="s">
        <v>50</v>
      </c>
      <c r="K274" s="0" t="s">
        <v>50</v>
      </c>
      <c r="L274" s="0" t="s">
        <v>50</v>
      </c>
      <c r="M274" s="0" t="s">
        <v>50</v>
      </c>
      <c r="N274" s="0" t="s">
        <v>50</v>
      </c>
      <c r="O274" s="0" t="s">
        <v>50</v>
      </c>
      <c r="P274" s="0" t="s">
        <v>50</v>
      </c>
    </row>
    <row r="275" customFormat="false" ht="15" hidden="false" customHeight="false" outlineLevel="0" collapsed="false">
      <c r="A275" s="0" t="s">
        <v>3066</v>
      </c>
      <c r="B275" s="0" t="s">
        <v>723</v>
      </c>
      <c r="C275" s="0" t="s">
        <v>3067</v>
      </c>
      <c r="D275" s="0" t="s">
        <v>50</v>
      </c>
      <c r="E275" s="0" t="s">
        <v>50</v>
      </c>
      <c r="F275" s="0" t="s">
        <v>50</v>
      </c>
      <c r="G275" s="0" t="s">
        <v>50</v>
      </c>
      <c r="H275" s="0" t="s">
        <v>50</v>
      </c>
      <c r="I275" s="0" t="s">
        <v>50</v>
      </c>
      <c r="J275" s="0" t="s">
        <v>50</v>
      </c>
      <c r="K275" s="0" t="s">
        <v>50</v>
      </c>
      <c r="L275" s="0" t="s">
        <v>50</v>
      </c>
      <c r="M275" s="0" t="s">
        <v>50</v>
      </c>
      <c r="N275" s="0" t="s">
        <v>50</v>
      </c>
      <c r="O275" s="0" t="s">
        <v>50</v>
      </c>
      <c r="P275" s="0" t="s">
        <v>50</v>
      </c>
    </row>
    <row r="276" customFormat="false" ht="15" hidden="false" customHeight="false" outlineLevel="0" collapsed="false">
      <c r="A276" s="0" t="s">
        <v>3068</v>
      </c>
      <c r="B276" s="0" t="s">
        <v>50</v>
      </c>
      <c r="C276" s="0" t="s">
        <v>3069</v>
      </c>
      <c r="D276" s="0" t="s">
        <v>50</v>
      </c>
      <c r="E276" s="0" t="s">
        <v>50</v>
      </c>
      <c r="F276" s="0" t="s">
        <v>50</v>
      </c>
      <c r="G276" s="0" t="s">
        <v>50</v>
      </c>
      <c r="H276" s="0" t="s">
        <v>50</v>
      </c>
      <c r="I276" s="0" t="s">
        <v>50</v>
      </c>
      <c r="J276" s="0" t="s">
        <v>50</v>
      </c>
      <c r="K276" s="0" t="s">
        <v>50</v>
      </c>
      <c r="L276" s="0" t="s">
        <v>50</v>
      </c>
      <c r="M276" s="0" t="s">
        <v>50</v>
      </c>
      <c r="N276" s="0" t="s">
        <v>50</v>
      </c>
      <c r="O276" s="0" t="s">
        <v>50</v>
      </c>
      <c r="P276" s="0" t="s">
        <v>50</v>
      </c>
    </row>
    <row r="277" customFormat="false" ht="15" hidden="false" customHeight="false" outlineLevel="0" collapsed="false">
      <c r="A277" s="0" t="s">
        <v>3070</v>
      </c>
      <c r="B277" s="0" t="s">
        <v>1187</v>
      </c>
      <c r="C277" s="0" t="s">
        <v>1188</v>
      </c>
      <c r="D277" s="0" t="s">
        <v>1189</v>
      </c>
      <c r="E277" s="0" t="s">
        <v>50</v>
      </c>
      <c r="F277" s="0" t="s">
        <v>50</v>
      </c>
      <c r="G277" s="0" t="s">
        <v>3071</v>
      </c>
      <c r="H277" s="0" t="s">
        <v>50</v>
      </c>
      <c r="I277" s="0" t="s">
        <v>50</v>
      </c>
      <c r="J277" s="0" t="s">
        <v>50</v>
      </c>
      <c r="K277" s="0" t="s">
        <v>50</v>
      </c>
      <c r="L277" s="0" t="s">
        <v>50</v>
      </c>
      <c r="M277" s="0" t="s">
        <v>50</v>
      </c>
      <c r="N277" s="0" t="s">
        <v>50</v>
      </c>
      <c r="O277" s="0" t="s">
        <v>50</v>
      </c>
      <c r="P277" s="0" t="s">
        <v>50</v>
      </c>
    </row>
    <row r="278" customFormat="false" ht="15" hidden="false" customHeight="false" outlineLevel="0" collapsed="false">
      <c r="A278" s="0" t="s">
        <v>3072</v>
      </c>
      <c r="B278" s="0" t="s">
        <v>1410</v>
      </c>
      <c r="C278" s="0" t="s">
        <v>1411</v>
      </c>
      <c r="D278" s="0" t="s">
        <v>1412</v>
      </c>
      <c r="E278" s="0" t="s">
        <v>1413</v>
      </c>
      <c r="F278" s="0" t="s">
        <v>3073</v>
      </c>
      <c r="G278" s="0" t="s">
        <v>3074</v>
      </c>
      <c r="H278" s="0" t="s">
        <v>3075</v>
      </c>
      <c r="I278" s="0" t="str">
        <f aca="false">HYPERLINK("https://omim.org/entry/614261", "614261")</f>
        <v>614261</v>
      </c>
      <c r="J278" s="0" t="s">
        <v>50</v>
      </c>
      <c r="K278" s="0" t="s">
        <v>50</v>
      </c>
      <c r="L278" s="0" t="s">
        <v>50</v>
      </c>
      <c r="M278" s="0" t="s">
        <v>50</v>
      </c>
      <c r="N278" s="0" t="s">
        <v>50</v>
      </c>
      <c r="O278" s="0" t="s">
        <v>50</v>
      </c>
      <c r="P278" s="0" t="s">
        <v>50</v>
      </c>
    </row>
    <row r="279" customFormat="false" ht="15" hidden="false" customHeight="false" outlineLevel="0" collapsed="false">
      <c r="A279" s="0" t="s">
        <v>3076</v>
      </c>
      <c r="B279" s="0" t="s">
        <v>50</v>
      </c>
      <c r="C279" s="0" t="s">
        <v>1021</v>
      </c>
      <c r="D279" s="0" t="s">
        <v>1022</v>
      </c>
      <c r="E279" s="0" t="s">
        <v>50</v>
      </c>
      <c r="F279" s="0" t="s">
        <v>3077</v>
      </c>
      <c r="G279" s="0" t="s">
        <v>3078</v>
      </c>
      <c r="H279" s="0" t="s">
        <v>3079</v>
      </c>
      <c r="I279" s="0" t="s">
        <v>50</v>
      </c>
      <c r="J279" s="0" t="s">
        <v>50</v>
      </c>
      <c r="K279" s="0" t="s">
        <v>50</v>
      </c>
      <c r="L279" s="0" t="s">
        <v>50</v>
      </c>
      <c r="M279" s="0" t="s">
        <v>50</v>
      </c>
      <c r="N279" s="0" t="s">
        <v>50</v>
      </c>
      <c r="O279" s="0" t="s">
        <v>50</v>
      </c>
      <c r="P279" s="0" t="s">
        <v>50</v>
      </c>
    </row>
    <row r="280" customFormat="false" ht="15" hidden="false" customHeight="false" outlineLevel="0" collapsed="false">
      <c r="A280" s="0" t="s">
        <v>3080</v>
      </c>
      <c r="B280" s="0" t="s">
        <v>803</v>
      </c>
      <c r="C280" s="0" t="s">
        <v>804</v>
      </c>
      <c r="D280" s="0" t="s">
        <v>805</v>
      </c>
      <c r="E280" s="0" t="s">
        <v>806</v>
      </c>
      <c r="F280" s="0" t="s">
        <v>3081</v>
      </c>
      <c r="G280" s="0" t="s">
        <v>3082</v>
      </c>
      <c r="H280" s="0" t="s">
        <v>3083</v>
      </c>
      <c r="I280" s="0" t="str">
        <f aca="false">HYPERLINK("https://omim.org/entry/612783", "612783")</f>
        <v>612783</v>
      </c>
      <c r="J280" s="0" t="str">
        <f aca="false">HYPERLINK("https://omim.org/entry/160565", "160565")</f>
        <v>160565</v>
      </c>
      <c r="K280" s="0" t="str">
        <f aca="false">HYPERLINK("https://omim.org/entry/185070", "185070")</f>
        <v>185070</v>
      </c>
      <c r="L280" s="0" t="s">
        <v>50</v>
      </c>
      <c r="M280" s="0" t="s">
        <v>50</v>
      </c>
      <c r="N280" s="0" t="s">
        <v>50</v>
      </c>
      <c r="O280" s="0" t="s">
        <v>50</v>
      </c>
      <c r="P280" s="0" t="s">
        <v>50</v>
      </c>
    </row>
    <row r="281" customFormat="false" ht="15" hidden="false" customHeight="false" outlineLevel="0" collapsed="false">
      <c r="A281" s="0" t="s">
        <v>3084</v>
      </c>
      <c r="B281" s="0" t="s">
        <v>851</v>
      </c>
      <c r="C281" s="0" t="s">
        <v>852</v>
      </c>
      <c r="D281" s="0" t="s">
        <v>853</v>
      </c>
      <c r="E281" s="0" t="s">
        <v>50</v>
      </c>
      <c r="F281" s="0" t="s">
        <v>50</v>
      </c>
      <c r="G281" s="0" t="s">
        <v>3085</v>
      </c>
      <c r="H281" s="0" t="s">
        <v>3086</v>
      </c>
      <c r="I281" s="0" t="s">
        <v>50</v>
      </c>
      <c r="J281" s="0" t="s">
        <v>50</v>
      </c>
      <c r="K281" s="0" t="s">
        <v>50</v>
      </c>
      <c r="L281" s="0" t="s">
        <v>50</v>
      </c>
      <c r="M281" s="0" t="s">
        <v>50</v>
      </c>
      <c r="N281" s="0" t="s">
        <v>50</v>
      </c>
      <c r="O281" s="0" t="s">
        <v>50</v>
      </c>
      <c r="P281" s="0" t="s">
        <v>50</v>
      </c>
    </row>
    <row r="282" customFormat="false" ht="15" hidden="false" customHeight="false" outlineLevel="0" collapsed="false">
      <c r="A282" s="0" t="s">
        <v>3087</v>
      </c>
      <c r="B282" s="0" t="s">
        <v>314</v>
      </c>
      <c r="C282" s="0" t="s">
        <v>315</v>
      </c>
      <c r="D282" s="0" t="s">
        <v>316</v>
      </c>
      <c r="E282" s="0" t="s">
        <v>317</v>
      </c>
      <c r="F282" s="0" t="s">
        <v>50</v>
      </c>
      <c r="G282" s="0" t="s">
        <v>3088</v>
      </c>
      <c r="H282" s="0" t="s">
        <v>50</v>
      </c>
      <c r="I282" s="0" t="str">
        <f aca="false">HYPERLINK("https://omim.org/entry/603720", "603720")</f>
        <v>603720</v>
      </c>
      <c r="J282" s="0" t="str">
        <f aca="false">HYPERLINK("https://omim.org/entry/611102", "611102")</f>
        <v>611102</v>
      </c>
      <c r="K282" s="0" t="s">
        <v>50</v>
      </c>
      <c r="L282" s="0" t="s">
        <v>50</v>
      </c>
      <c r="M282" s="0" t="s">
        <v>50</v>
      </c>
      <c r="N282" s="0" t="s">
        <v>50</v>
      </c>
      <c r="O282" s="0" t="s">
        <v>50</v>
      </c>
      <c r="P282" s="0" t="s">
        <v>50</v>
      </c>
    </row>
    <row r="283" customFormat="false" ht="15" hidden="false" customHeight="false" outlineLevel="0" collapsed="false">
      <c r="A283" s="0" t="s">
        <v>3089</v>
      </c>
      <c r="B283" s="0" t="s">
        <v>658</v>
      </c>
      <c r="C283" s="0" t="s">
        <v>659</v>
      </c>
      <c r="D283" s="0" t="s">
        <v>660</v>
      </c>
      <c r="E283" s="0" t="s">
        <v>50</v>
      </c>
      <c r="F283" s="0" t="s">
        <v>3090</v>
      </c>
      <c r="G283" s="0" t="s">
        <v>50</v>
      </c>
      <c r="H283" s="0" t="s">
        <v>50</v>
      </c>
      <c r="I283" s="0" t="s">
        <v>50</v>
      </c>
      <c r="J283" s="0" t="s">
        <v>50</v>
      </c>
      <c r="K283" s="0" t="s">
        <v>50</v>
      </c>
      <c r="L283" s="0" t="s">
        <v>50</v>
      </c>
      <c r="M283" s="0" t="s">
        <v>50</v>
      </c>
      <c r="N283" s="0" t="s">
        <v>50</v>
      </c>
      <c r="O283" s="0" t="s">
        <v>50</v>
      </c>
      <c r="P283" s="0" t="s">
        <v>50</v>
      </c>
    </row>
    <row r="284" customFormat="false" ht="15" hidden="false" customHeight="false" outlineLevel="0" collapsed="false">
      <c r="A284" s="0" t="s">
        <v>3091</v>
      </c>
      <c r="B284" s="0" t="s">
        <v>1959</v>
      </c>
      <c r="C284" s="0" t="s">
        <v>3092</v>
      </c>
      <c r="D284" s="0" t="s">
        <v>1961</v>
      </c>
      <c r="E284" s="0" t="s">
        <v>1962</v>
      </c>
      <c r="F284" s="0" t="s">
        <v>3093</v>
      </c>
      <c r="G284" s="0" t="s">
        <v>3094</v>
      </c>
      <c r="H284" s="0" t="s">
        <v>3095</v>
      </c>
      <c r="I284" s="0" t="str">
        <f aca="false">HYPERLINK("https://omim.org/entry/610743", "610743")</f>
        <v>610743</v>
      </c>
      <c r="J284" s="0" t="str">
        <f aca="false">HYPERLINK("https://omim.org/entry/612998", "612998")</f>
        <v>612998</v>
      </c>
      <c r="K284" s="0" t="s">
        <v>50</v>
      </c>
      <c r="L284" s="0" t="s">
        <v>50</v>
      </c>
      <c r="M284" s="0" t="s">
        <v>50</v>
      </c>
      <c r="N284" s="0" t="s">
        <v>50</v>
      </c>
      <c r="O284" s="0" t="s">
        <v>50</v>
      </c>
      <c r="P284" s="0" t="s">
        <v>50</v>
      </c>
    </row>
    <row r="285" customFormat="false" ht="15" hidden="false" customHeight="false" outlineLevel="0" collapsed="false">
      <c r="A285" s="0" t="s">
        <v>3096</v>
      </c>
      <c r="B285" s="0" t="s">
        <v>2050</v>
      </c>
      <c r="C285" s="0" t="s">
        <v>2051</v>
      </c>
      <c r="D285" s="0" t="s">
        <v>2052</v>
      </c>
      <c r="E285" s="0" t="s">
        <v>50</v>
      </c>
      <c r="F285" s="0" t="s">
        <v>3097</v>
      </c>
      <c r="G285" s="0" t="s">
        <v>3098</v>
      </c>
      <c r="H285" s="0" t="s">
        <v>3099</v>
      </c>
      <c r="I285" s="0" t="s">
        <v>50</v>
      </c>
      <c r="J285" s="0" t="s">
        <v>50</v>
      </c>
      <c r="K285" s="0" t="s">
        <v>50</v>
      </c>
      <c r="L285" s="0" t="s">
        <v>50</v>
      </c>
      <c r="M285" s="0" t="s">
        <v>50</v>
      </c>
      <c r="N285" s="0" t="s">
        <v>50</v>
      </c>
      <c r="O285" s="0" t="s">
        <v>50</v>
      </c>
      <c r="P285" s="0" t="s">
        <v>50</v>
      </c>
    </row>
    <row r="286" customFormat="false" ht="15" hidden="false" customHeight="false" outlineLevel="0" collapsed="false">
      <c r="A286" s="0" t="s">
        <v>3100</v>
      </c>
      <c r="B286" s="0" t="s">
        <v>2171</v>
      </c>
      <c r="C286" s="0" t="s">
        <v>3101</v>
      </c>
      <c r="D286" s="0" t="s">
        <v>2173</v>
      </c>
      <c r="E286" s="0" t="s">
        <v>2174</v>
      </c>
      <c r="F286" s="0" t="s">
        <v>50</v>
      </c>
      <c r="G286" s="0" t="s">
        <v>3102</v>
      </c>
      <c r="H286" s="0" t="s">
        <v>3103</v>
      </c>
      <c r="I286" s="0" t="str">
        <f aca="false">HYPERLINK("https://omim.org/entry/314250", "314250")</f>
        <v>314250</v>
      </c>
      <c r="J286" s="0" t="s">
        <v>50</v>
      </c>
      <c r="K286" s="0" t="s">
        <v>50</v>
      </c>
      <c r="L286" s="0" t="s">
        <v>50</v>
      </c>
      <c r="M286" s="0" t="s">
        <v>50</v>
      </c>
      <c r="N286" s="0" t="s">
        <v>50</v>
      </c>
      <c r="O286" s="0" t="s">
        <v>50</v>
      </c>
      <c r="P286" s="0" t="s">
        <v>50</v>
      </c>
    </row>
    <row r="287" customFormat="false" ht="15" hidden="false" customHeight="false" outlineLevel="0" collapsed="false">
      <c r="A287" s="0" t="s">
        <v>3104</v>
      </c>
      <c r="B287" s="0" t="s">
        <v>1380</v>
      </c>
      <c r="C287" s="0" t="s">
        <v>1381</v>
      </c>
      <c r="D287" s="0" t="s">
        <v>1382</v>
      </c>
      <c r="E287" s="0" t="s">
        <v>50</v>
      </c>
      <c r="F287" s="0" t="s">
        <v>50</v>
      </c>
      <c r="G287" s="0" t="s">
        <v>3105</v>
      </c>
      <c r="H287" s="0" t="s">
        <v>3106</v>
      </c>
      <c r="I287" s="0" t="s">
        <v>50</v>
      </c>
      <c r="J287" s="0" t="s">
        <v>50</v>
      </c>
      <c r="K287" s="0" t="s">
        <v>50</v>
      </c>
      <c r="L287" s="0" t="s">
        <v>50</v>
      </c>
      <c r="M287" s="0" t="s">
        <v>50</v>
      </c>
      <c r="N287" s="0" t="s">
        <v>50</v>
      </c>
      <c r="O287" s="0" t="s">
        <v>50</v>
      </c>
      <c r="P287" s="0" t="s">
        <v>50</v>
      </c>
    </row>
    <row r="288" customFormat="false" ht="15" hidden="false" customHeight="false" outlineLevel="0" collapsed="false">
      <c r="A288" s="0" t="s">
        <v>3107</v>
      </c>
      <c r="B288" s="0" t="s">
        <v>1196</v>
      </c>
      <c r="C288" s="0" t="s">
        <v>1197</v>
      </c>
      <c r="D288" s="0" t="s">
        <v>1198</v>
      </c>
      <c r="E288" s="0" t="s">
        <v>1199</v>
      </c>
      <c r="F288" s="0" t="s">
        <v>3108</v>
      </c>
      <c r="G288" s="0" t="s">
        <v>3109</v>
      </c>
      <c r="H288" s="0" t="s">
        <v>2235</v>
      </c>
      <c r="I288" s="0" t="str">
        <f aca="false">HYPERLINK("https://omim.org/entry/615841", "615841")</f>
        <v>615841</v>
      </c>
      <c r="J288" s="0" t="s">
        <v>50</v>
      </c>
      <c r="K288" s="0" t="s">
        <v>50</v>
      </c>
      <c r="L288" s="0" t="s">
        <v>50</v>
      </c>
      <c r="M288" s="0" t="s">
        <v>50</v>
      </c>
      <c r="N288" s="0" t="s">
        <v>50</v>
      </c>
      <c r="O288" s="0" t="s">
        <v>50</v>
      </c>
      <c r="P288" s="0" t="s">
        <v>50</v>
      </c>
    </row>
    <row r="289" customFormat="false" ht="15" hidden="false" customHeight="false" outlineLevel="0" collapsed="false">
      <c r="A289" s="0" t="s">
        <v>3110</v>
      </c>
      <c r="B289" s="0" t="s">
        <v>1614</v>
      </c>
      <c r="C289" s="0" t="s">
        <v>1615</v>
      </c>
      <c r="D289" s="0" t="s">
        <v>50</v>
      </c>
      <c r="E289" s="0" t="s">
        <v>50</v>
      </c>
      <c r="F289" s="0" t="s">
        <v>50</v>
      </c>
      <c r="G289" s="0" t="s">
        <v>50</v>
      </c>
      <c r="H289" s="0" t="s">
        <v>50</v>
      </c>
      <c r="I289" s="0" t="s">
        <v>50</v>
      </c>
      <c r="J289" s="0" t="s">
        <v>50</v>
      </c>
      <c r="K289" s="0" t="s">
        <v>50</v>
      </c>
      <c r="L289" s="0" t="s">
        <v>50</v>
      </c>
      <c r="M289" s="0" t="s">
        <v>50</v>
      </c>
      <c r="N289" s="0" t="s">
        <v>50</v>
      </c>
      <c r="O289" s="0" t="s">
        <v>50</v>
      </c>
      <c r="P289" s="0" t="s">
        <v>50</v>
      </c>
    </row>
    <row r="290" customFormat="false" ht="15" hidden="false" customHeight="false" outlineLevel="0" collapsed="false">
      <c r="A290" s="0" t="s">
        <v>3111</v>
      </c>
      <c r="B290" s="0" t="s">
        <v>50</v>
      </c>
      <c r="C290" s="0" t="s">
        <v>593</v>
      </c>
      <c r="D290" s="0" t="s">
        <v>594</v>
      </c>
      <c r="E290" s="0" t="s">
        <v>50</v>
      </c>
      <c r="F290" s="0" t="s">
        <v>50</v>
      </c>
      <c r="G290" s="0" t="s">
        <v>3112</v>
      </c>
      <c r="H290" s="0" t="s">
        <v>3113</v>
      </c>
      <c r="I290" s="0" t="s">
        <v>50</v>
      </c>
      <c r="J290" s="0" t="s">
        <v>50</v>
      </c>
      <c r="K290" s="0" t="s">
        <v>50</v>
      </c>
      <c r="L290" s="0" t="s">
        <v>50</v>
      </c>
      <c r="M290" s="0" t="s">
        <v>50</v>
      </c>
      <c r="N290" s="0" t="s">
        <v>50</v>
      </c>
      <c r="O290" s="0" t="s">
        <v>50</v>
      </c>
      <c r="P290" s="0" t="s">
        <v>50</v>
      </c>
    </row>
    <row r="291" customFormat="false" ht="15" hidden="false" customHeight="false" outlineLevel="0" collapsed="false">
      <c r="A291" s="0" t="s">
        <v>3114</v>
      </c>
      <c r="B291" s="0" t="s">
        <v>1004</v>
      </c>
      <c r="C291" s="0" t="s">
        <v>1005</v>
      </c>
      <c r="D291" s="0" t="s">
        <v>1006</v>
      </c>
      <c r="E291" s="0" t="s">
        <v>50</v>
      </c>
      <c r="F291" s="0" t="s">
        <v>3115</v>
      </c>
      <c r="G291" s="0" t="s">
        <v>3116</v>
      </c>
      <c r="H291" s="0" t="s">
        <v>3117</v>
      </c>
      <c r="I291" s="0" t="s">
        <v>50</v>
      </c>
      <c r="J291" s="0" t="s">
        <v>50</v>
      </c>
      <c r="K291" s="0" t="s">
        <v>50</v>
      </c>
      <c r="L291" s="0" t="s">
        <v>50</v>
      </c>
      <c r="M291" s="0" t="s">
        <v>50</v>
      </c>
      <c r="N291" s="0" t="s">
        <v>50</v>
      </c>
      <c r="O291" s="0" t="s">
        <v>50</v>
      </c>
      <c r="P291" s="0" t="s">
        <v>50</v>
      </c>
    </row>
    <row r="292" customFormat="false" ht="15" hidden="false" customHeight="false" outlineLevel="0" collapsed="false">
      <c r="A292" s="0" t="s">
        <v>3118</v>
      </c>
      <c r="B292" s="0" t="s">
        <v>470</v>
      </c>
      <c r="C292" s="0" t="s">
        <v>471</v>
      </c>
      <c r="D292" s="0" t="s">
        <v>472</v>
      </c>
      <c r="E292" s="0" t="s">
        <v>50</v>
      </c>
      <c r="F292" s="0" t="s">
        <v>50</v>
      </c>
      <c r="G292" s="0" t="s">
        <v>3119</v>
      </c>
      <c r="H292" s="0" t="s">
        <v>3120</v>
      </c>
      <c r="I292" s="0" t="s">
        <v>50</v>
      </c>
      <c r="J292" s="0" t="s">
        <v>50</v>
      </c>
      <c r="K292" s="0" t="s">
        <v>50</v>
      </c>
      <c r="L292" s="0" t="s">
        <v>50</v>
      </c>
      <c r="M292" s="0" t="s">
        <v>50</v>
      </c>
      <c r="N292" s="0" t="s">
        <v>50</v>
      </c>
      <c r="O292" s="0" t="s">
        <v>50</v>
      </c>
      <c r="P292" s="0" t="s">
        <v>50</v>
      </c>
    </row>
    <row r="293" customFormat="false" ht="15" hidden="false" customHeight="false" outlineLevel="0" collapsed="false">
      <c r="A293" s="0" t="s">
        <v>3121</v>
      </c>
      <c r="B293" s="0" t="s">
        <v>1236</v>
      </c>
      <c r="C293" s="0" t="s">
        <v>1237</v>
      </c>
      <c r="D293" s="0" t="s">
        <v>1238</v>
      </c>
      <c r="E293" s="0" t="s">
        <v>50</v>
      </c>
      <c r="F293" s="0" t="s">
        <v>50</v>
      </c>
      <c r="G293" s="0" t="s">
        <v>3122</v>
      </c>
      <c r="H293" s="0" t="s">
        <v>3123</v>
      </c>
      <c r="I293" s="0" t="s">
        <v>50</v>
      </c>
      <c r="J293" s="0" t="s">
        <v>50</v>
      </c>
      <c r="K293" s="0" t="s">
        <v>50</v>
      </c>
      <c r="L293" s="0" t="s">
        <v>50</v>
      </c>
      <c r="M293" s="0" t="s">
        <v>50</v>
      </c>
      <c r="N293" s="0" t="s">
        <v>50</v>
      </c>
      <c r="O293" s="0" t="s">
        <v>50</v>
      </c>
      <c r="P293" s="0" t="s">
        <v>50</v>
      </c>
    </row>
    <row r="294" customFormat="false" ht="15" hidden="false" customHeight="false" outlineLevel="0" collapsed="false">
      <c r="A294" s="0" t="s">
        <v>3124</v>
      </c>
      <c r="B294" s="0" t="s">
        <v>2078</v>
      </c>
      <c r="C294" s="0" t="s">
        <v>2079</v>
      </c>
      <c r="D294" s="0" t="s">
        <v>2080</v>
      </c>
      <c r="E294" s="0" t="s">
        <v>2081</v>
      </c>
      <c r="F294" s="0" t="s">
        <v>50</v>
      </c>
      <c r="G294" s="0" t="s">
        <v>3125</v>
      </c>
      <c r="H294" s="0" t="s">
        <v>3126</v>
      </c>
      <c r="I294" s="0" t="str">
        <f aca="false">HYPERLINK("https://omim.org/entry/614052", "614052")</f>
        <v>614052</v>
      </c>
      <c r="J294" s="0" t="s">
        <v>50</v>
      </c>
      <c r="K294" s="0" t="s">
        <v>50</v>
      </c>
      <c r="L294" s="0" t="s">
        <v>50</v>
      </c>
      <c r="M294" s="0" t="s">
        <v>50</v>
      </c>
      <c r="N294" s="0" t="s">
        <v>50</v>
      </c>
      <c r="O294" s="0" t="s">
        <v>50</v>
      </c>
      <c r="P294" s="0" t="s">
        <v>50</v>
      </c>
    </row>
    <row r="295" customFormat="false" ht="15" hidden="false" customHeight="false" outlineLevel="0" collapsed="false">
      <c r="A295" s="0" t="s">
        <v>3127</v>
      </c>
      <c r="B295" s="0" t="s">
        <v>406</v>
      </c>
      <c r="C295" s="0" t="s">
        <v>407</v>
      </c>
      <c r="D295" s="0" t="s">
        <v>408</v>
      </c>
      <c r="E295" s="0" t="s">
        <v>50</v>
      </c>
      <c r="F295" s="0" t="s">
        <v>3128</v>
      </c>
      <c r="G295" s="0" t="s">
        <v>3129</v>
      </c>
      <c r="H295" s="0" t="s">
        <v>50</v>
      </c>
      <c r="I295" s="0" t="s">
        <v>50</v>
      </c>
      <c r="J295" s="0" t="s">
        <v>50</v>
      </c>
      <c r="K295" s="0" t="s">
        <v>50</v>
      </c>
      <c r="L295" s="0" t="s">
        <v>50</v>
      </c>
      <c r="M295" s="0" t="s">
        <v>50</v>
      </c>
      <c r="N295" s="0" t="s">
        <v>50</v>
      </c>
      <c r="O295" s="0" t="s">
        <v>50</v>
      </c>
      <c r="P295" s="0" t="s">
        <v>50</v>
      </c>
    </row>
    <row r="296" customFormat="false" ht="15" hidden="false" customHeight="false" outlineLevel="0" collapsed="false">
      <c r="A296" s="0" t="s">
        <v>3130</v>
      </c>
      <c r="B296" s="0" t="s">
        <v>3131</v>
      </c>
      <c r="C296" s="0" t="s">
        <v>3132</v>
      </c>
      <c r="D296" s="0" t="s">
        <v>2527</v>
      </c>
      <c r="E296" s="0" t="s">
        <v>2528</v>
      </c>
      <c r="F296" s="0" t="s">
        <v>2529</v>
      </c>
      <c r="G296" s="0" t="s">
        <v>50</v>
      </c>
      <c r="H296" s="0" t="s">
        <v>50</v>
      </c>
      <c r="I296" s="0" t="str">
        <f aca="false">HYPERLINK("https://omim.org/entry/616117", "616117")</f>
        <v>616117</v>
      </c>
      <c r="J296" s="0" t="s">
        <v>50</v>
      </c>
      <c r="K296" s="0" t="s">
        <v>50</v>
      </c>
      <c r="L296" s="0" t="s">
        <v>50</v>
      </c>
      <c r="M296" s="0" t="s">
        <v>50</v>
      </c>
      <c r="N296" s="0" t="s">
        <v>50</v>
      </c>
      <c r="O296" s="0" t="s">
        <v>50</v>
      </c>
      <c r="P296" s="0" t="s">
        <v>50</v>
      </c>
    </row>
    <row r="297" customFormat="false" ht="15" hidden="false" customHeight="false" outlineLevel="0" collapsed="false">
      <c r="A297" s="0" t="s">
        <v>3133</v>
      </c>
      <c r="B297" s="0" t="s">
        <v>98</v>
      </c>
      <c r="C297" s="0" t="s">
        <v>99</v>
      </c>
      <c r="D297" s="0" t="s">
        <v>100</v>
      </c>
      <c r="E297" s="0" t="s">
        <v>101</v>
      </c>
      <c r="F297" s="0" t="s">
        <v>3134</v>
      </c>
      <c r="G297" s="0" t="s">
        <v>3135</v>
      </c>
      <c r="H297" s="0" t="s">
        <v>3136</v>
      </c>
      <c r="I297" s="0" t="str">
        <f aca="false">HYPERLINK("https://omim.org/entry/204500", "204500")</f>
        <v>204500</v>
      </c>
      <c r="J297" s="0" t="str">
        <f aca="false">HYPERLINK("https://omim.org/entry/609270", "609270")</f>
        <v>609270</v>
      </c>
      <c r="K297" s="0" t="s">
        <v>50</v>
      </c>
      <c r="L297" s="0" t="s">
        <v>50</v>
      </c>
      <c r="M297" s="0" t="s">
        <v>50</v>
      </c>
      <c r="N297" s="0" t="s">
        <v>50</v>
      </c>
      <c r="O297" s="0" t="s">
        <v>50</v>
      </c>
      <c r="P297" s="0" t="s">
        <v>50</v>
      </c>
    </row>
    <row r="298" customFormat="false" ht="15" hidden="false" customHeight="false" outlineLevel="0" collapsed="false">
      <c r="A298" s="0" t="s">
        <v>3137</v>
      </c>
      <c r="B298" s="0" t="s">
        <v>1579</v>
      </c>
      <c r="C298" s="0" t="s">
        <v>1580</v>
      </c>
      <c r="D298" s="0" t="s">
        <v>1581</v>
      </c>
      <c r="E298" s="0" t="s">
        <v>50</v>
      </c>
      <c r="F298" s="0" t="s">
        <v>3138</v>
      </c>
      <c r="G298" s="0" t="s">
        <v>2456</v>
      </c>
      <c r="H298" s="0" t="s">
        <v>3139</v>
      </c>
      <c r="I298" s="0" t="s">
        <v>50</v>
      </c>
      <c r="J298" s="0" t="s">
        <v>50</v>
      </c>
      <c r="K298" s="0" t="s">
        <v>50</v>
      </c>
      <c r="L298" s="0" t="s">
        <v>50</v>
      </c>
      <c r="M298" s="0" t="s">
        <v>50</v>
      </c>
      <c r="N298" s="0" t="s">
        <v>50</v>
      </c>
      <c r="O298" s="0" t="s">
        <v>50</v>
      </c>
      <c r="P298" s="0" t="s">
        <v>50</v>
      </c>
    </row>
    <row r="299" customFormat="false" ht="15" hidden="false" customHeight="false" outlineLevel="0" collapsed="false">
      <c r="A299" s="0" t="s">
        <v>3140</v>
      </c>
      <c r="B299" s="0" t="s">
        <v>1935</v>
      </c>
      <c r="C299" s="0" t="s">
        <v>3141</v>
      </c>
      <c r="D299" s="0" t="s">
        <v>1937</v>
      </c>
      <c r="E299" s="0" t="s">
        <v>1938</v>
      </c>
      <c r="F299" s="0" t="s">
        <v>2476</v>
      </c>
      <c r="G299" s="0" t="s">
        <v>3142</v>
      </c>
      <c r="H299" s="0" t="s">
        <v>3143</v>
      </c>
      <c r="I299" s="0" t="str">
        <f aca="false">HYPERLINK("https://omim.org/entry/615527", "615527")</f>
        <v>615527</v>
      </c>
      <c r="J299" s="0" t="s">
        <v>50</v>
      </c>
      <c r="K299" s="0" t="s">
        <v>50</v>
      </c>
      <c r="L299" s="0" t="s">
        <v>50</v>
      </c>
      <c r="M299" s="0" t="s">
        <v>50</v>
      </c>
      <c r="N299" s="0" t="s">
        <v>50</v>
      </c>
      <c r="O299" s="0" t="s">
        <v>50</v>
      </c>
      <c r="P299" s="0" t="s">
        <v>50</v>
      </c>
    </row>
    <row r="300" customFormat="false" ht="15" hidden="false" customHeight="false" outlineLevel="0" collapsed="false">
      <c r="A300" s="0" t="s">
        <v>3144</v>
      </c>
      <c r="B300" s="0" t="s">
        <v>50</v>
      </c>
      <c r="C300" s="0" t="s">
        <v>3145</v>
      </c>
      <c r="D300" s="0" t="s">
        <v>50</v>
      </c>
      <c r="E300" s="0" t="s">
        <v>50</v>
      </c>
      <c r="F300" s="0" t="s">
        <v>50</v>
      </c>
      <c r="G300" s="0" t="s">
        <v>50</v>
      </c>
      <c r="H300" s="0" t="s">
        <v>50</v>
      </c>
      <c r="I300" s="0" t="s">
        <v>50</v>
      </c>
      <c r="J300" s="0" t="s">
        <v>50</v>
      </c>
      <c r="K300" s="0" t="s">
        <v>50</v>
      </c>
      <c r="L300" s="0" t="s">
        <v>50</v>
      </c>
      <c r="M300" s="0" t="s">
        <v>50</v>
      </c>
      <c r="N300" s="0" t="s">
        <v>50</v>
      </c>
      <c r="O300" s="0" t="s">
        <v>50</v>
      </c>
      <c r="P300" s="0" t="s">
        <v>50</v>
      </c>
    </row>
    <row r="301" customFormat="false" ht="15" hidden="false" customHeight="false" outlineLevel="0" collapsed="false">
      <c r="A301" s="0" t="s">
        <v>3146</v>
      </c>
      <c r="B301" s="0" t="s">
        <v>1940</v>
      </c>
      <c r="C301" s="0" t="s">
        <v>1941</v>
      </c>
      <c r="D301" s="0" t="s">
        <v>1942</v>
      </c>
      <c r="E301" s="0" t="s">
        <v>1943</v>
      </c>
      <c r="F301" s="0" t="s">
        <v>50</v>
      </c>
      <c r="G301" s="0" t="s">
        <v>3147</v>
      </c>
      <c r="H301" s="0" t="s">
        <v>3148</v>
      </c>
      <c r="I301" s="0" t="str">
        <f aca="false">HYPERLINK("https://omim.org/entry/615441", "615441")</f>
        <v>615441</v>
      </c>
      <c r="J301" s="0" t="s">
        <v>50</v>
      </c>
      <c r="K301" s="0" t="s">
        <v>50</v>
      </c>
      <c r="L301" s="0" t="s">
        <v>50</v>
      </c>
      <c r="M301" s="0" t="s">
        <v>50</v>
      </c>
      <c r="N301" s="0" t="s">
        <v>50</v>
      </c>
      <c r="O301" s="0" t="s">
        <v>50</v>
      </c>
      <c r="P301" s="0" t="s">
        <v>50</v>
      </c>
    </row>
    <row r="302" customFormat="false" ht="15" hidden="false" customHeight="false" outlineLevel="0" collapsed="false">
      <c r="A302" s="0" t="s">
        <v>3149</v>
      </c>
      <c r="B302" s="0" t="s">
        <v>820</v>
      </c>
      <c r="C302" s="0" t="s">
        <v>821</v>
      </c>
      <c r="D302" s="0" t="s">
        <v>822</v>
      </c>
      <c r="E302" s="0" t="s">
        <v>50</v>
      </c>
      <c r="F302" s="0" t="s">
        <v>50</v>
      </c>
      <c r="G302" s="0" t="s">
        <v>3150</v>
      </c>
      <c r="H302" s="0" t="s">
        <v>2916</v>
      </c>
      <c r="I302" s="0" t="s">
        <v>50</v>
      </c>
      <c r="J302" s="0" t="s">
        <v>50</v>
      </c>
      <c r="K302" s="0" t="s">
        <v>50</v>
      </c>
      <c r="L302" s="0" t="s">
        <v>50</v>
      </c>
      <c r="M302" s="0" t="s">
        <v>50</v>
      </c>
      <c r="N302" s="0" t="s">
        <v>50</v>
      </c>
      <c r="O302" s="0" t="s">
        <v>50</v>
      </c>
      <c r="P302" s="0" t="s">
        <v>50</v>
      </c>
    </row>
    <row r="303" customFormat="false" ht="15" hidden="false" customHeight="false" outlineLevel="0" collapsed="false">
      <c r="A303" s="0" t="s">
        <v>3151</v>
      </c>
      <c r="B303" s="0" t="s">
        <v>1820</v>
      </c>
      <c r="C303" s="0" t="s">
        <v>1821</v>
      </c>
      <c r="D303" s="0" t="s">
        <v>50</v>
      </c>
      <c r="E303" s="0" t="s">
        <v>50</v>
      </c>
      <c r="F303" s="0" t="s">
        <v>50</v>
      </c>
      <c r="G303" s="0" t="s">
        <v>3152</v>
      </c>
      <c r="H303" s="0" t="s">
        <v>3153</v>
      </c>
      <c r="I303" s="0" t="s">
        <v>50</v>
      </c>
      <c r="J303" s="0" t="s">
        <v>50</v>
      </c>
      <c r="K303" s="0" t="s">
        <v>50</v>
      </c>
      <c r="L303" s="0" t="s">
        <v>50</v>
      </c>
      <c r="M303" s="0" t="s">
        <v>50</v>
      </c>
      <c r="N303" s="0" t="s">
        <v>50</v>
      </c>
      <c r="O303" s="0" t="s">
        <v>50</v>
      </c>
      <c r="P303" s="0" t="s">
        <v>50</v>
      </c>
    </row>
    <row r="304" customFormat="false" ht="15" hidden="false" customHeight="false" outlineLevel="0" collapsed="false">
      <c r="A304" s="0" t="s">
        <v>3154</v>
      </c>
      <c r="B304" s="0" t="s">
        <v>1283</v>
      </c>
      <c r="C304" s="0" t="s">
        <v>1284</v>
      </c>
      <c r="D304" s="0" t="s">
        <v>1285</v>
      </c>
      <c r="E304" s="0" t="s">
        <v>1286</v>
      </c>
      <c r="F304" s="0" t="s">
        <v>50</v>
      </c>
      <c r="G304" s="0" t="s">
        <v>3155</v>
      </c>
      <c r="H304" s="0" t="s">
        <v>3156</v>
      </c>
      <c r="I304" s="0" t="str">
        <f aca="false">HYPERLINK("https://omim.org/entry/612390", "612390")</f>
        <v>612390</v>
      </c>
      <c r="J304" s="0" t="s">
        <v>50</v>
      </c>
      <c r="K304" s="0" t="s">
        <v>50</v>
      </c>
      <c r="L304" s="0" t="s">
        <v>50</v>
      </c>
      <c r="M304" s="0" t="s">
        <v>50</v>
      </c>
      <c r="N304" s="0" t="s">
        <v>50</v>
      </c>
      <c r="O304" s="0" t="s">
        <v>50</v>
      </c>
      <c r="P304" s="0" t="s">
        <v>50</v>
      </c>
    </row>
    <row r="305" customFormat="false" ht="15" hidden="false" customHeight="false" outlineLevel="0" collapsed="false">
      <c r="A305" s="0" t="s">
        <v>3157</v>
      </c>
      <c r="B305" s="0" t="s">
        <v>528</v>
      </c>
      <c r="C305" s="0" t="s">
        <v>529</v>
      </c>
      <c r="D305" s="0" t="s">
        <v>50</v>
      </c>
      <c r="E305" s="0" t="s">
        <v>50</v>
      </c>
      <c r="F305" s="0" t="s">
        <v>50</v>
      </c>
      <c r="G305" s="0" t="s">
        <v>3158</v>
      </c>
      <c r="H305" s="0" t="s">
        <v>3159</v>
      </c>
      <c r="I305" s="0" t="s">
        <v>50</v>
      </c>
      <c r="J305" s="0" t="s">
        <v>50</v>
      </c>
      <c r="K305" s="0" t="s">
        <v>50</v>
      </c>
      <c r="L305" s="0" t="s">
        <v>50</v>
      </c>
      <c r="M305" s="0" t="s">
        <v>50</v>
      </c>
      <c r="N305" s="0" t="s">
        <v>50</v>
      </c>
      <c r="O305" s="0" t="s">
        <v>50</v>
      </c>
      <c r="P305" s="0" t="s">
        <v>50</v>
      </c>
    </row>
    <row r="306" customFormat="false" ht="15" hidden="false" customHeight="false" outlineLevel="0" collapsed="false">
      <c r="A306" s="0" t="s">
        <v>3160</v>
      </c>
      <c r="B306" s="0" t="s">
        <v>1398</v>
      </c>
      <c r="C306" s="0" t="s">
        <v>1399</v>
      </c>
      <c r="D306" s="0" t="s">
        <v>50</v>
      </c>
      <c r="E306" s="0" t="s">
        <v>50</v>
      </c>
      <c r="F306" s="0" t="s">
        <v>50</v>
      </c>
      <c r="G306" s="0" t="s">
        <v>3161</v>
      </c>
      <c r="H306" s="0" t="s">
        <v>3162</v>
      </c>
      <c r="I306" s="0" t="s">
        <v>50</v>
      </c>
      <c r="J306" s="0" t="s">
        <v>50</v>
      </c>
      <c r="K306" s="0" t="s">
        <v>50</v>
      </c>
      <c r="L306" s="0" t="s">
        <v>50</v>
      </c>
      <c r="M306" s="0" t="s">
        <v>50</v>
      </c>
      <c r="N306" s="0" t="s">
        <v>50</v>
      </c>
      <c r="O306" s="0" t="s">
        <v>50</v>
      </c>
      <c r="P306" s="0" t="s">
        <v>50</v>
      </c>
    </row>
    <row r="307" customFormat="false" ht="15" hidden="false" customHeight="false" outlineLevel="0" collapsed="false">
      <c r="A307" s="0" t="s">
        <v>3163</v>
      </c>
      <c r="B307" s="0" t="s">
        <v>356</v>
      </c>
      <c r="C307" s="0" t="s">
        <v>357</v>
      </c>
      <c r="D307" s="0" t="s">
        <v>358</v>
      </c>
      <c r="E307" s="0" t="s">
        <v>359</v>
      </c>
      <c r="F307" s="0" t="s">
        <v>3164</v>
      </c>
      <c r="G307" s="0" t="s">
        <v>3165</v>
      </c>
      <c r="H307" s="0" t="s">
        <v>3166</v>
      </c>
      <c r="I307" s="0" t="str">
        <f aca="false">HYPERLINK("https://omim.org/entry/603689", "603689")</f>
        <v>603689</v>
      </c>
      <c r="J307" s="0" t="str">
        <f aca="false">HYPERLINK("https://omim.org/entry/613765", "613765")</f>
        <v>613765</v>
      </c>
      <c r="K307" s="0" t="str">
        <f aca="false">HYPERLINK("https://omim.org/entry/604145", "604145")</f>
        <v>604145</v>
      </c>
      <c r="L307" s="0" t="str">
        <f aca="false">HYPERLINK("https://omim.org/entry/600334", "600334")</f>
        <v>600334</v>
      </c>
      <c r="M307" s="0" t="str">
        <f aca="false">HYPERLINK("https://omim.org/entry/608807", "608807")</f>
        <v>608807</v>
      </c>
      <c r="N307" s="0" t="str">
        <f aca="false">HYPERLINK("https://omim.org/entry/611705", "611705")</f>
        <v>611705</v>
      </c>
      <c r="O307" s="0" t="s">
        <v>50</v>
      </c>
      <c r="P307" s="0" t="s">
        <v>50</v>
      </c>
    </row>
    <row r="308" customFormat="false" ht="15" hidden="false" customHeight="false" outlineLevel="0" collapsed="false">
      <c r="A308" s="0" t="s">
        <v>3167</v>
      </c>
      <c r="B308" s="0" t="s">
        <v>587</v>
      </c>
      <c r="C308" s="0" t="s">
        <v>588</v>
      </c>
      <c r="D308" s="0" t="s">
        <v>50</v>
      </c>
      <c r="E308" s="0" t="s">
        <v>50</v>
      </c>
      <c r="F308" s="0" t="s">
        <v>50</v>
      </c>
      <c r="G308" s="0" t="s">
        <v>3168</v>
      </c>
      <c r="H308" s="0" t="s">
        <v>3169</v>
      </c>
      <c r="I308" s="0" t="s">
        <v>50</v>
      </c>
      <c r="J308" s="0" t="s">
        <v>50</v>
      </c>
      <c r="K308" s="0" t="s">
        <v>50</v>
      </c>
      <c r="L308" s="0" t="s">
        <v>50</v>
      </c>
      <c r="M308" s="0" t="s">
        <v>50</v>
      </c>
      <c r="N308" s="0" t="s">
        <v>50</v>
      </c>
      <c r="O308" s="0" t="s">
        <v>50</v>
      </c>
      <c r="P308" s="0" t="s">
        <v>50</v>
      </c>
    </row>
    <row r="309" customFormat="false" ht="15" hidden="false" customHeight="false" outlineLevel="0" collapsed="false">
      <c r="A309" s="0" t="s">
        <v>3170</v>
      </c>
      <c r="B309" s="0" t="s">
        <v>1009</v>
      </c>
      <c r="C309" s="0" t="s">
        <v>3171</v>
      </c>
      <c r="D309" s="0" t="s">
        <v>1011</v>
      </c>
      <c r="E309" s="0" t="s">
        <v>1012</v>
      </c>
      <c r="F309" s="0" t="s">
        <v>50</v>
      </c>
      <c r="G309" s="0" t="s">
        <v>3172</v>
      </c>
      <c r="H309" s="0" t="s">
        <v>3173</v>
      </c>
      <c r="I309" s="0" t="str">
        <f aca="false">HYPERLINK("https://omim.org/entry/105830", "105830")</f>
        <v>105830</v>
      </c>
      <c r="J309" s="0" t="s">
        <v>50</v>
      </c>
      <c r="K309" s="0" t="s">
        <v>50</v>
      </c>
      <c r="L309" s="0" t="s">
        <v>50</v>
      </c>
      <c r="M309" s="0" t="s">
        <v>50</v>
      </c>
      <c r="N309" s="0" t="s">
        <v>50</v>
      </c>
      <c r="O309" s="0" t="s">
        <v>50</v>
      </c>
      <c r="P309" s="0" t="s">
        <v>50</v>
      </c>
    </row>
    <row r="310" customFormat="false" ht="15" hidden="false" customHeight="false" outlineLevel="0" collapsed="false">
      <c r="A310" s="0" t="s">
        <v>3174</v>
      </c>
      <c r="B310" s="0" t="s">
        <v>1682</v>
      </c>
      <c r="C310" s="0" t="s">
        <v>1683</v>
      </c>
      <c r="D310" s="0" t="s">
        <v>1684</v>
      </c>
      <c r="E310" s="0" t="s">
        <v>50</v>
      </c>
      <c r="F310" s="0" t="s">
        <v>50</v>
      </c>
      <c r="G310" s="0" t="s">
        <v>3175</v>
      </c>
      <c r="H310" s="0" t="s">
        <v>3176</v>
      </c>
      <c r="I310" s="0" t="s">
        <v>50</v>
      </c>
      <c r="J310" s="0" t="s">
        <v>50</v>
      </c>
      <c r="K310" s="0" t="s">
        <v>50</v>
      </c>
      <c r="L310" s="0" t="s">
        <v>50</v>
      </c>
      <c r="M310" s="0" t="s">
        <v>50</v>
      </c>
      <c r="N310" s="0" t="s">
        <v>50</v>
      </c>
      <c r="O310" s="0" t="s">
        <v>50</v>
      </c>
      <c r="P310" s="0" t="s">
        <v>50</v>
      </c>
    </row>
    <row r="311" customFormat="false" ht="15" hidden="false" customHeight="false" outlineLevel="0" collapsed="false">
      <c r="A311" s="0" t="s">
        <v>3177</v>
      </c>
      <c r="B311" s="0" t="s">
        <v>50</v>
      </c>
      <c r="C311" s="0" t="s">
        <v>334</v>
      </c>
      <c r="D311" s="0" t="s">
        <v>50</v>
      </c>
      <c r="E311" s="0" t="s">
        <v>50</v>
      </c>
      <c r="F311" s="0" t="s">
        <v>50</v>
      </c>
      <c r="G311" s="0" t="s">
        <v>50</v>
      </c>
      <c r="H311" s="0" t="s">
        <v>50</v>
      </c>
      <c r="I311" s="0" t="s">
        <v>50</v>
      </c>
      <c r="J311" s="0" t="s">
        <v>50</v>
      </c>
      <c r="K311" s="0" t="s">
        <v>50</v>
      </c>
      <c r="L311" s="0" t="s">
        <v>50</v>
      </c>
      <c r="M311" s="0" t="s">
        <v>50</v>
      </c>
      <c r="N311" s="0" t="s">
        <v>50</v>
      </c>
      <c r="O311" s="0" t="s">
        <v>50</v>
      </c>
      <c r="P311" s="0" t="s">
        <v>50</v>
      </c>
    </row>
    <row r="312" customFormat="false" ht="15" hidden="false" customHeight="false" outlineLevel="0" collapsed="false">
      <c r="A312" s="0" t="s">
        <v>3178</v>
      </c>
      <c r="B312" s="0" t="s">
        <v>1422</v>
      </c>
      <c r="C312" s="0" t="s">
        <v>1423</v>
      </c>
      <c r="D312" s="0" t="s">
        <v>1424</v>
      </c>
      <c r="E312" s="0" t="s">
        <v>50</v>
      </c>
      <c r="F312" s="0" t="s">
        <v>50</v>
      </c>
      <c r="G312" s="0" t="s">
        <v>3179</v>
      </c>
      <c r="H312" s="0" t="s">
        <v>3180</v>
      </c>
      <c r="I312" s="0" t="s">
        <v>50</v>
      </c>
      <c r="J312" s="0" t="s">
        <v>50</v>
      </c>
      <c r="K312" s="0" t="s">
        <v>50</v>
      </c>
      <c r="L312" s="0" t="s">
        <v>50</v>
      </c>
      <c r="M312" s="0" t="s">
        <v>50</v>
      </c>
      <c r="N312" s="0" t="s">
        <v>50</v>
      </c>
      <c r="O312" s="0" t="s">
        <v>50</v>
      </c>
      <c r="P312" s="0" t="s">
        <v>50</v>
      </c>
    </row>
    <row r="313" customFormat="false" ht="15" hidden="false" customHeight="false" outlineLevel="0" collapsed="false">
      <c r="A313" s="0" t="s">
        <v>3181</v>
      </c>
      <c r="B313" s="0" t="s">
        <v>1123</v>
      </c>
      <c r="C313" s="0" t="s">
        <v>1124</v>
      </c>
      <c r="D313" s="0" t="s">
        <v>1125</v>
      </c>
      <c r="E313" s="0" t="s">
        <v>1126</v>
      </c>
      <c r="F313" s="0" t="s">
        <v>3182</v>
      </c>
      <c r="G313" s="0" t="s">
        <v>3183</v>
      </c>
      <c r="H313" s="0" t="s">
        <v>3184</v>
      </c>
      <c r="I313" s="0" t="s">
        <v>50</v>
      </c>
      <c r="J313" s="0" t="s">
        <v>50</v>
      </c>
      <c r="K313" s="0" t="s">
        <v>50</v>
      </c>
      <c r="L313" s="0" t="s">
        <v>50</v>
      </c>
      <c r="M313" s="0" t="s">
        <v>50</v>
      </c>
      <c r="N313" s="0" t="s">
        <v>50</v>
      </c>
      <c r="O313" s="0" t="s">
        <v>50</v>
      </c>
      <c r="P313" s="0" t="s">
        <v>50</v>
      </c>
    </row>
    <row r="314" customFormat="false" ht="15" hidden="false" customHeight="false" outlineLevel="0" collapsed="false">
      <c r="A314" s="0" t="s">
        <v>3185</v>
      </c>
      <c r="B314" s="0" t="s">
        <v>50</v>
      </c>
      <c r="C314" s="0" t="s">
        <v>1687</v>
      </c>
      <c r="D314" s="0" t="s">
        <v>1688</v>
      </c>
      <c r="E314" s="0" t="s">
        <v>50</v>
      </c>
      <c r="F314" s="0" t="s">
        <v>3186</v>
      </c>
      <c r="G314" s="0" t="s">
        <v>3187</v>
      </c>
      <c r="H314" s="0" t="s">
        <v>3188</v>
      </c>
      <c r="I314" s="0" t="s">
        <v>50</v>
      </c>
      <c r="J314" s="0" t="s">
        <v>50</v>
      </c>
      <c r="K314" s="0" t="s">
        <v>50</v>
      </c>
      <c r="L314" s="0" t="s">
        <v>50</v>
      </c>
      <c r="M314" s="0" t="s">
        <v>50</v>
      </c>
      <c r="N314" s="0" t="s">
        <v>50</v>
      </c>
      <c r="O314" s="0" t="s">
        <v>50</v>
      </c>
      <c r="P314" s="0" t="s">
        <v>50</v>
      </c>
    </row>
    <row r="315" customFormat="false" ht="15" hidden="false" customHeight="false" outlineLevel="0" collapsed="false">
      <c r="A315" s="0" t="s">
        <v>3189</v>
      </c>
      <c r="B315" s="0" t="s">
        <v>778</v>
      </c>
      <c r="C315" s="0" t="s">
        <v>779</v>
      </c>
      <c r="D315" s="0" t="s">
        <v>50</v>
      </c>
      <c r="E315" s="0" t="s">
        <v>780</v>
      </c>
      <c r="F315" s="0" t="s">
        <v>2539</v>
      </c>
      <c r="G315" s="0" t="s">
        <v>3190</v>
      </c>
      <c r="H315" s="0" t="s">
        <v>3191</v>
      </c>
      <c r="I315" s="0" t="str">
        <f aca="false">HYPERLINK("https://omim.org/entry/614858", "614858")</f>
        <v>614858</v>
      </c>
      <c r="J315" s="0" t="s">
        <v>50</v>
      </c>
      <c r="K315" s="0" t="s">
        <v>50</v>
      </c>
      <c r="L315" s="0" t="s">
        <v>50</v>
      </c>
      <c r="M315" s="0" t="s">
        <v>50</v>
      </c>
      <c r="N315" s="0" t="s">
        <v>50</v>
      </c>
      <c r="O315" s="0" t="s">
        <v>50</v>
      </c>
      <c r="P315" s="0" t="s">
        <v>50</v>
      </c>
    </row>
    <row r="316" customFormat="false" ht="15" hidden="false" customHeight="false" outlineLevel="0" collapsed="false">
      <c r="A316" s="0" t="s">
        <v>3192</v>
      </c>
      <c r="B316" s="0" t="s">
        <v>2046</v>
      </c>
      <c r="C316" s="0" t="s">
        <v>2047</v>
      </c>
      <c r="D316" s="0" t="s">
        <v>2048</v>
      </c>
      <c r="E316" s="0" t="s">
        <v>50</v>
      </c>
      <c r="F316" s="0" t="s">
        <v>3193</v>
      </c>
      <c r="G316" s="0" t="s">
        <v>3194</v>
      </c>
      <c r="H316" s="0" t="s">
        <v>3195</v>
      </c>
      <c r="I316" s="0" t="s">
        <v>50</v>
      </c>
      <c r="J316" s="0" t="s">
        <v>50</v>
      </c>
      <c r="K316" s="0" t="s">
        <v>50</v>
      </c>
      <c r="L316" s="0" t="s">
        <v>50</v>
      </c>
      <c r="M316" s="0" t="s">
        <v>50</v>
      </c>
      <c r="N316" s="0" t="s">
        <v>50</v>
      </c>
      <c r="O316" s="0" t="s">
        <v>50</v>
      </c>
      <c r="P316" s="0" t="s">
        <v>50</v>
      </c>
    </row>
    <row r="317" customFormat="false" ht="15" hidden="false" customHeight="false" outlineLevel="0" collapsed="false">
      <c r="A317" s="0" t="s">
        <v>3196</v>
      </c>
      <c r="B317" s="0" t="s">
        <v>1159</v>
      </c>
      <c r="C317" s="0" t="s">
        <v>1160</v>
      </c>
      <c r="D317" s="0" t="s">
        <v>50</v>
      </c>
      <c r="E317" s="0" t="s">
        <v>50</v>
      </c>
      <c r="F317" s="0" t="s">
        <v>3197</v>
      </c>
      <c r="G317" s="0" t="s">
        <v>3198</v>
      </c>
      <c r="H317" s="0" t="s">
        <v>3199</v>
      </c>
      <c r="I317" s="0" t="s">
        <v>50</v>
      </c>
      <c r="J317" s="0" t="s">
        <v>50</v>
      </c>
      <c r="K317" s="0" t="s">
        <v>50</v>
      </c>
      <c r="L317" s="0" t="s">
        <v>50</v>
      </c>
      <c r="M317" s="0" t="s">
        <v>50</v>
      </c>
      <c r="N317" s="0" t="s">
        <v>50</v>
      </c>
      <c r="O317" s="0" t="s">
        <v>50</v>
      </c>
      <c r="P317" s="0" t="s">
        <v>50</v>
      </c>
    </row>
    <row r="318" customFormat="false" ht="15" hidden="false" customHeight="false" outlineLevel="0" collapsed="false">
      <c r="A318" s="0" t="s">
        <v>3200</v>
      </c>
      <c r="B318" s="0" t="s">
        <v>756</v>
      </c>
      <c r="C318" s="0" t="s">
        <v>757</v>
      </c>
      <c r="D318" s="0" t="s">
        <v>758</v>
      </c>
      <c r="E318" s="0" t="s">
        <v>759</v>
      </c>
      <c r="F318" s="0" t="s">
        <v>3201</v>
      </c>
      <c r="G318" s="0" t="s">
        <v>3202</v>
      </c>
      <c r="H318" s="0" t="s">
        <v>3203</v>
      </c>
      <c r="I318" s="0" t="str">
        <f aca="false">HYPERLINK("https://omim.org/entry/613270", "613270")</f>
        <v>613270</v>
      </c>
      <c r="J318" s="0" t="s">
        <v>50</v>
      </c>
      <c r="K318" s="0" t="s">
        <v>50</v>
      </c>
      <c r="L318" s="0" t="s">
        <v>50</v>
      </c>
      <c r="M318" s="0" t="s">
        <v>50</v>
      </c>
      <c r="N318" s="0" t="s">
        <v>50</v>
      </c>
      <c r="O318" s="0" t="s">
        <v>50</v>
      </c>
      <c r="P318" s="0" t="s">
        <v>50</v>
      </c>
    </row>
    <row r="319" customFormat="false" ht="15" hidden="false" customHeight="false" outlineLevel="0" collapsed="false">
      <c r="A319" s="0" t="s">
        <v>3204</v>
      </c>
      <c r="B319" s="0" t="s">
        <v>1367</v>
      </c>
      <c r="C319" s="0" t="s">
        <v>1368</v>
      </c>
      <c r="D319" s="0" t="s">
        <v>1369</v>
      </c>
      <c r="E319" s="0" t="s">
        <v>50</v>
      </c>
      <c r="F319" s="0" t="s">
        <v>50</v>
      </c>
      <c r="G319" s="0" t="s">
        <v>3205</v>
      </c>
      <c r="H319" s="0" t="s">
        <v>50</v>
      </c>
      <c r="I319" s="0" t="s">
        <v>50</v>
      </c>
      <c r="J319" s="0" t="s">
        <v>50</v>
      </c>
      <c r="K319" s="0" t="s">
        <v>50</v>
      </c>
      <c r="L319" s="0" t="s">
        <v>50</v>
      </c>
      <c r="M319" s="0" t="s">
        <v>50</v>
      </c>
      <c r="N319" s="0" t="s">
        <v>50</v>
      </c>
      <c r="O319" s="0" t="s">
        <v>50</v>
      </c>
      <c r="P319" s="0" t="s">
        <v>50</v>
      </c>
    </row>
    <row r="320" customFormat="false" ht="15" hidden="false" customHeight="false" outlineLevel="0" collapsed="false">
      <c r="A320" s="0" t="s">
        <v>3206</v>
      </c>
      <c r="B320" s="0" t="s">
        <v>1361</v>
      </c>
      <c r="C320" s="0" t="s">
        <v>1362</v>
      </c>
      <c r="D320" s="0" t="s">
        <v>1363</v>
      </c>
      <c r="E320" s="0" t="s">
        <v>50</v>
      </c>
      <c r="F320" s="0" t="s">
        <v>50</v>
      </c>
      <c r="G320" s="0" t="s">
        <v>3207</v>
      </c>
      <c r="H320" s="0" t="s">
        <v>3208</v>
      </c>
      <c r="I320" s="0" t="s">
        <v>50</v>
      </c>
      <c r="J320" s="0" t="s">
        <v>50</v>
      </c>
      <c r="K320" s="0" t="s">
        <v>50</v>
      </c>
      <c r="L320" s="0" t="s">
        <v>50</v>
      </c>
      <c r="M320" s="0" t="s">
        <v>50</v>
      </c>
      <c r="N320" s="0" t="s">
        <v>50</v>
      </c>
      <c r="O320" s="0" t="s">
        <v>50</v>
      </c>
      <c r="P320" s="0" t="s">
        <v>50</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TotalTime>
  <Application>LibreOffice/7.3.4.2$Linux_X86_64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2022-07-30T07:03:23Z</dcterms:created>
  <dc:creator>openpyxl</dc:creator>
  <dc:description/>
  <dc:language>en-US</dc:language>
  <cp:lastModifiedBy/>
  <dcterms:modified xsi:type="dcterms:W3CDTF">2022-08-03T19:28:38Z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