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ariants" sheetId="1" state="visible" r:id="rId2"/>
    <sheet name="Gene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<sst xmlns="http://schemas.openxmlformats.org/spreadsheetml/2006/main" count="17210" uniqueCount="3604">
  <si>
    <t xml:space="preserve">Comment</t>
  </si>
  <si>
    <t xml:space="preserve">UCSC</t>
  </si>
  <si>
    <t xml:space="preserve">Chr</t>
  </si>
  <si>
    <t xml:space="preserve">Start</t>
  </si>
  <si>
    <t xml:space="preserve">End</t>
  </si>
  <si>
    <t xml:space="preserve">Ref</t>
  </si>
  <si>
    <t xml:space="preserve">Alt</t>
  </si>
  <si>
    <t xml:space="preserve">VCF.QUAL</t>
  </si>
  <si>
    <t xml:space="preserve">VCF.DP</t>
  </si>
  <si>
    <t xml:space="preserve">VCF.AD</t>
  </si>
  <si>
    <t xml:space="preserve">HGMD</t>
  </si>
  <si>
    <t xml:space="preserve">avsnp150</t>
  </si>
  <si>
    <t xml:space="preserve">AnnoFit.GeneName</t>
  </si>
  <si>
    <t xml:space="preserve">AnnoFit.Func</t>
  </si>
  <si>
    <t xml:space="preserve">AnnoFit.ExonicFunc</t>
  </si>
  <si>
    <t xml:space="preserve">AnnoFit.Details</t>
  </si>
  <si>
    <t xml:space="preserve">AnnoFit.PopFreqMax</t>
  </si>
  <si>
    <t xml:space="preserve">non_topmed_AF_popmax</t>
  </si>
  <si>
    <t xml:space="preserve">non_neuro_AF_popmax</t>
  </si>
  <si>
    <t xml:space="preserve">non_cancer_AF_popmax</t>
  </si>
  <si>
    <t xml:space="preserve">controls_AF_popmax</t>
  </si>
  <si>
    <t xml:space="preserve">AnnoFit.ExonPred</t>
  </si>
  <si>
    <t xml:space="preserve">AnnoFit.SplicePred</t>
  </si>
  <si>
    <t xml:space="preserve">regsnp_disease</t>
  </si>
  <si>
    <t xml:space="preserve">regsnp_splicing_site</t>
  </si>
  <si>
    <t xml:space="preserve">AnnoFit.Conservation</t>
  </si>
  <si>
    <t xml:space="preserve">InterVar_automated</t>
  </si>
  <si>
    <t xml:space="preserve">CLNSIG</t>
  </si>
  <si>
    <t xml:space="preserve">VCF.GT</t>
  </si>
  <si>
    <t xml:space="preserve">Annofit.Compound</t>
  </si>
  <si>
    <t xml:space="preserve">pLi</t>
  </si>
  <si>
    <t xml:space="preserve">Gene_full_name</t>
  </si>
  <si>
    <t xml:space="preserve">Function_description</t>
  </si>
  <si>
    <t xml:space="preserve">Disease_description</t>
  </si>
  <si>
    <t xml:space="preserve">GIAB_Problems</t>
  </si>
  <si>
    <t xml:space="preserve">ENCODE_Blacklist</t>
  </si>
  <si>
    <t xml:space="preserve">UCSC_UnusualRegions</t>
  </si>
  <si>
    <t xml:space="preserve">NCBI_Problems</t>
  </si>
  <si>
    <t xml:space="preserve">chr7</t>
  </si>
  <si>
    <t xml:space="preserve">G</t>
  </si>
  <si>
    <t xml:space="preserve">C</t>
  </si>
  <si>
    <t xml:space="preserve">2542.64</t>
  </si>
  <si>
    <t xml:space="preserve">220</t>
  </si>
  <si>
    <t xml:space="preserve">107,113</t>
  </si>
  <si>
    <t xml:space="preserve">CS130593</t>
  </si>
  <si>
    <t xml:space="preserve">intronic</t>
  </si>
  <si>
    <t xml:space="preserve">.</t>
  </si>
  <si>
    <t xml:space="preserve">D</t>
  </si>
  <si>
    <t xml:space="preserve">off</t>
  </si>
  <si>
    <t xml:space="preserve">Benign/Likely_benign</t>
  </si>
  <si>
    <t xml:space="preserve">0/1</t>
  </si>
  <si>
    <t xml:space="preserve">1</t>
  </si>
  <si>
    <t xml:space="preserve">0.999994739435503</t>
  </si>
  <si>
    <t xml:space="preserve">GLI family zinc finger 3</t>
  </si>
  <si>
    <t xml:space="preserve">FUNCTION: Has a dual function as a transcriptional activator and a repressor of the sonic hedgehog (Shh) pathway, and plays a role in limb development. The full-length GLI3 form (GLI3FL) after phosphorylation and nuclear translocation, acts as an activator (GLI3A) while GLI3R, its C-terminally truncated form, acts as a repressor. A proper balance between the GLI3 activator and the repressor GLI3R, rather than the repressor gradient itself or the activator/repressor ratio gradient, specifies limb digit number and identity. In concert with TRPS1, plays a role in regulating the size of the zone of distal chondrocytes, in restricting the zone of PTHLH expression in distal cells and in activating chondrocyte proliferation. Binds to the minimal GLI-consensus sequence 5'-GGGTGGTC-3'. {ECO:0000269|PubMed:10693759, ECO:0000269|PubMed:11238441, ECO:0000269|PubMed:17764085}.; </t>
  </si>
  <si>
    <t xml:space="preserve">DISEASE: Greig cephalo-poly-syndactyly syndrome (GCPS) [MIM:175700]: Autosomal dominant disorder affecting limb and craniofacial development. It is characterized by pre- and postaxial polydactyly, syndactyly of fingers and toes, macrocephaly and hypertelorism. {ECO:0000269|PubMed:10441342, ECO:0000269|PubMed:12414818, ECO:0000269|PubMed:12794692, ECO:0000269|PubMed:9302279}. Note=The disease is caused by mutations affecting the gene represented in this entry.; DISEASE: Pallister-Hall syndrome (PHS) [MIM:146510]: An autosomal dominant disorder characterized by a wide range of clinical manifestations. Clinical features include hypothalamic hamartoma, pituitary dysfunction, central or postaxial polydactyly, and syndactyly. Malformations are frequent in the viscera, e.g. anal atresia, bifid uvula, congenital heart malformations, pulmonary or renal dysplasia. {ECO:0000269|PubMed:10441570}. Note=The disease is caused by mutations affecting the gene represented in this entry.; DISEASE: Polydactyly, postaxial A1 (PAPA1) [MIM:174200]: A condition characterized by the occurrence of supernumerary digits in the upper and/or lower extremities. In postaxial polydactyly type A, the extra digit is well-formed and articulates with the fifth or a sixth metacarpal/metatarsal. {ECO:0000269|PubMed:10441570}. Note=The disease is caused by mutations affecting the gene represented in this entry.; DISEASE: Polydactyly, postaxial B (PAPB) [MIM:174200]: A condition characterized by an extra digit in the occurrence of supernumerary digits in the upper and/or lower extremities. In postaxial polydactyly type B the extra digit is not well formed and is frequently in the form of a skin. {ECO:0000269|PubMed:10441570}. Note=The disease is caused by mutations affecting the gene represented in this entry.; DISEASE: Polydactyly preaxial 4 (POP4) [MIM:174700]: Preaxial polydactyly (i.e., polydactyly on the radial/tibial side of the hand/foot) covers a heterogeneous group of entities. In preaxial polydactyly type IV, the thumb shows only the mildest degree of duplication, and syndactyly of various degrees affects fingers 3 and 4. {ECO:0000269|PubMed:10441570}. Note=The disease is caused by mutations affecting the gene represented in this entry.; </t>
  </si>
  <si>
    <t xml:space="preserve">chr4</t>
  </si>
  <si>
    <t xml:space="preserve">A</t>
  </si>
  <si>
    <t xml:space="preserve">1508.64</t>
  </si>
  <si>
    <t xml:space="preserve">115</t>
  </si>
  <si>
    <t xml:space="preserve">53,62</t>
  </si>
  <si>
    <t xml:space="preserve">CM994604</t>
  </si>
  <si>
    <t xml:space="preserve">exonic</t>
  </si>
  <si>
    <t xml:space="preserve">nonsynonymous SNV</t>
  </si>
  <si>
    <t xml:space="preserve">MTNR1A:NM_005958:exon1:c.C160T:p.R54W;MTNR1A:uc003izd.1:exon1:c.C160T:p.R54W;ENSG00000168412:ENST00000307161:exon1:c.C160T:p.R54W</t>
  </si>
  <si>
    <t xml:space="preserve">6/9</t>
  </si>
  <si>
    <t xml:space="preserve">0/7</t>
  </si>
  <si>
    <t xml:space="preserve">Uncertain significance</t>
  </si>
  <si>
    <t xml:space="preserve">0.00303239205970951</t>
  </si>
  <si>
    <t xml:space="preserve">melatonin receptor 1A</t>
  </si>
  <si>
    <t xml:space="preserve">FUNCTION: High affinity receptor for melatonin. Likely to mediates the reproductive and circadian actions of melatonin. The activity of this receptor is mediated by pertussis toxin sensitive G proteins that inhibit adenylate cyclase activity.; </t>
  </si>
  <si>
    <t xml:space="preserve">chr2</t>
  </si>
  <si>
    <t xml:space="preserve">2025.64</t>
  </si>
  <si>
    <t xml:space="preserve">152</t>
  </si>
  <si>
    <t xml:space="preserve">71,81</t>
  </si>
  <si>
    <t xml:space="preserve">CM134264</t>
  </si>
  <si>
    <t xml:space="preserve">stopgain</t>
  </si>
  <si>
    <t xml:space="preserve">PTH2R:NM_005048:exon3:c.C245A:p.S82X;PTH2R:uc002vdb.4:exon3:c.C245A:p.S82X,PTH2R:uc010zjb.2:exon3:c.C278A:p.S93X;ENSG00000144407:ENST00000272847:exon3:c.C245A:p.S82X</t>
  </si>
  <si>
    <t xml:space="preserve">1/3</t>
  </si>
  <si>
    <t xml:space="preserve">1.3161518374435e-15</t>
  </si>
  <si>
    <t xml:space="preserve">parathyroid hormone 2 receptor</t>
  </si>
  <si>
    <t xml:space="preserve">FUNCTION: This is a specific receptor for parathyroid hormone. The activity of this receptor is mediated by G proteins which activate adenylyl cyclase. PTH2R may be responsible for PTH effects in a number of physiological systems. It may play a significant role in pancreatic function. PTH2R presence in neurons indicates that it may function as a neurotransmitter receptor (By similarity). {ECO:0000250}.; </t>
  </si>
  <si>
    <t xml:space="preserve">T</t>
  </si>
  <si>
    <t xml:space="preserve">1835.64</t>
  </si>
  <si>
    <t xml:space="preserve">147</t>
  </si>
  <si>
    <t xml:space="preserve">78,69</t>
  </si>
  <si>
    <t xml:space="preserve">CM129931</t>
  </si>
  <si>
    <t xml:space="preserve">EPAS1:NM_001430:exon9:c.T1121A:p.F374Y;EPAS1:uc002ruv.3:exon9:c.T1121A:p.F374Y;ENSG00000116016:ENST00000263734:exon9:c.T1121A:p.F374Y</t>
  </si>
  <si>
    <t xml:space="preserve">5/11</t>
  </si>
  <si>
    <t xml:space="preserve">2/7</t>
  </si>
  <si>
    <t xml:space="preserve">Likely benign</t>
  </si>
  <si>
    <t xml:space="preserve">Conflicting_interpretations_of_pathogenicity</t>
  </si>
  <si>
    <t xml:space="preserve">0.997628292931524</t>
  </si>
  <si>
    <t xml:space="preserve">endothelial PAS domain protein 1</t>
  </si>
  <si>
    <t xml:space="preserve">FUNCTION: Transcription factor involved in the induction of oxygen regulated genes. Binds to core DNA sequence 5'-[AG]CGTG-3' within the hypoxia response element (HRE) of target gene promoters. Regulates the vascular endothelial growth factor (VEGF) expression and seems to be implicated in the development of blood vessels and the tubular system of lung. May also play a role in the formation of the endothelium that gives rise to the blood brain barrier. Potent activator of the Tie-2 tyrosine kinase expression. Activation seems to require recruitment of transcriptional coactivators such as CREBPB and probably EP300. Interaction with redox regulatory protein APEX seems to activate CTAD.; </t>
  </si>
  <si>
    <t xml:space="preserve">DISEASE: Erythrocytosis, familial, 4 (ECYT4) [MIM:611783]: An autosomal dominant disorder characterized by increased serum red blood cell mass, elevated serum hemoglobin and hematocrit, and normal platelet and leukocyte counts. {ECO:0000269|PubMed:18184961, ECO:0000269|PubMed:18378852, ECO:0000269|PubMed:19208626, ECO:0000269|PubMed:22367913}. Note=The disease is caused by mutations affecting the gene represented in this entry.; </t>
  </si>
  <si>
    <t xml:space="preserve">chr5</t>
  </si>
  <si>
    <t xml:space="preserve">1186.64</t>
  </si>
  <si>
    <t xml:space="preserve">87</t>
  </si>
  <si>
    <t xml:space="preserve">43,44</t>
  </si>
  <si>
    <t xml:space="preserve">CM113235</t>
  </si>
  <si>
    <t xml:space="preserve">TERT:NM_001193376:exon14:c.G2995A:p.A999T,TERT:NM_198253:exon15:c.G3184A:p.A1062T;TERT:uc003jbz.1:exon11:c.G772A:p.A258T,TERT:uc003jcc.1:exon14:c.G2995A:p.A999T,TERT:uc003jca.1:exon15:c.G3148A:p.A1050T,TERT:uc003jcb.1:exon15:c.G3184A:p.A1062T;ENSG00000164362:ENST00000334602:exon14:c.G2995A:p.A999T,ENSG00000164362:ENST00000310581:exon15:c.G3184A:p.A1062T</t>
  </si>
  <si>
    <t xml:space="preserve">3/10</t>
  </si>
  <si>
    <t xml:space="preserve">0.866151189063377</t>
  </si>
  <si>
    <t xml:space="preserve">telomerase reverse transcriptase</t>
  </si>
  <si>
    <t xml:space="preserve">FUNCTION: Telomerase is a ribonucleoprotein enzyme essential for the replication of chromosome termini in most eukaryotes. Active in progenitor and cancer cells. Inactive, or very low activity, in normal somatic cells. Catalytic component of the teleromerase holoenzyme complex whose main activity is the elongation of telomeres by acting as a reverse transcriptase that adds simple sequence repeats to chromosome ends by copying a template sequence within the RNA component of the enzyme. Catalyzes the RNA- dependent extension of 3'-chromosomal termini with the 6- nucleotide telomeric repeat unit, 5'-TTAGGG-3'. The catalytic cycle involves primer binding, primer extension and release of product once the template boundary has been reached or nascent product translocation followed by further extension. More active on substrates containing 2 or 3 telomeric repeats. Telomerase activity is regulated by a number of factors including telomerase complex-associated proteins, chaperones and polypeptide modifiers. Modulates Wnt signaling. Plays important roles in aging and antiapoptosis. {ECO:0000269|PubMed:14963003, ECO:0000269|PubMed:15082768, ECO:0000269|PubMed:15857955, ECO:0000269|PubMed:17026956, ECO:0000269|PubMed:17264120, ECO:0000269|PubMed:17296728, ECO:0000269|PubMed:17548608, ECO:0000269|PubMed:19188162, ECO:0000269|PubMed:19567472, ECO:0000269|PubMed:19571879, ECO:0000269|PubMed:19777057, ECO:0000269|PubMed:9389643}.; </t>
  </si>
  <si>
    <t xml:space="preserve">DISEASE: Note=Activation of telomerase has been implicated in cell immortalization and cancer cell pathogenesis.; DISEASE: Aplastic anemia (AA) [MIM:609135]: A form of anemia in which the bone marrow fails to produce adequate numbers of peripheral blood elements. It is characterized by peripheral pancytopenia and marrow hypoplasia. {ECO:0000269|PubMed:15885610, ECO:0000269|PubMed:16627250, ECO:0000269|PubMed:16990594, ECO:0000269|PubMed:19760749}. Note=Disease susceptibility is associated with variations affecting the gene represented in this entry.; DISEASE: Note=Genetic variations in TERT are associated with coronary artery disease (CAD).; DISEASE: Dyskeratosis congenita, autosomal dominant, 2 (DKCA2) [MIM:613989]: A rare multisystem disorder caused by defective telomere maintenance. It is characterized by progressive bone marrow failure, and the clinical triad of reticulated skin hyperpigmentation, nail dystrophy, and mucosal leukoplakia. Common but variable features include premature graying, aplastic anemia, low platelets, osteoporosis, pulmonary fibrosis, and liver fibrosis among others. Early mortality is often associated with bone marrow failure, infections, fatal pulmonary complications, or malignancy. {ECO:0000269|PubMed:15885610, ECO:0000269|PubMed:16247010}. Note=The disease is caused by mutations affecting the gene represented in this entry.; DISEASE: Pulmonary fibrosis, and/or bone marrow failure, telomere- related, 1 (PFBMFT1) [MIM:614742]: A disease associated with shortened telomeres. Pulmonary fibrosis is the most common manifestation. Other manifestations include aplastic anemia due to bone marrow failure, hepatic fibrosis, and increased cancer risk, particularly myelodysplastic syndrome and acute myeloid leukemia. Phenotype, age at onset, and severity are determined by telomere length. {ECO:0000269|PubMed:15814878, ECO:0000269|PubMed:17460043, ECO:0000269|PubMed:21436073, ECO:0000269|PubMed:21483807, ECO:0000269|PubMed:22512499}. Note=The disease is caused by mutations affecting the gene represented in this entry.; DISEASE: Dyskeratosis congenita, autosomal recessive, 4 (DKCB4) [MIM:613989]: A severe form of dyskeratosis congenita, a rare multisystem disorder caused by defective telomere maintenance. It is characterized by progressive bone marrow failure, and the clinical triad of reticulated skin hyperpigmentation, nail dystrophy, and mucosal leukoplakia. Common but variable features include premature graying, aplastic anemia, low platelets, osteoporosis, pulmonary fibrosis, and liver fibrosis among others. Early mortality is often associated with bone marrow failure, infections, fatal pulmonary complications, or malignancy. {ECO:0000269|PubMed:16332973, ECO:0000269|PubMed:17785587, ECO:0000269|PubMed:18042801}. Note=The disease is caused by mutations affecting the gene represented in this entry.; DISEASE: Pulmonary fibrosis, idiopathic (IPF) [MIM:178500]: A lung disease characterized by shortness of breath, radiographically evident diffuse pulmonary infiltrates, and varying degrees of inflammation and fibrosis on biopsy. In some cases, the disorder can be rapidly progressive and characterized by sequential acute lung injury with subsequent scarring and end-stage lung disease. Note=Disease susceptibility is associated with variations affecting the gene represented in this entry.; DISEASE: Melanoma, cutaneous malignant 9 (CMM9) [MIM:615134]: A malignant neoplasm of melanocytes, arising de novo or from a pre- existing benign nevus, which occurs most often in the skin but also may involve other sites. {ECO:0000269|PubMed:23348503}. Note=Disease susceptibility is associated with variations affecting the gene represented in this entry.; </t>
  </si>
  <si>
    <t xml:space="preserve">chr22</t>
  </si>
  <si>
    <t xml:space="preserve">1270.64</t>
  </si>
  <si>
    <t xml:space="preserve">118</t>
  </si>
  <si>
    <t xml:space="preserve">67,51</t>
  </si>
  <si>
    <t xml:space="preserve">CM097784</t>
  </si>
  <si>
    <t xml:space="preserve">MYH9:NM_002473:exon35:c.T4952C:p.M1651T;MYH9:uc003apg.3:exon35:c.T4952C:p.M1651T;ENSG00000100345:ENST00000216181:exon35:c.T4952C:p.M1651T</t>
  </si>
  <si>
    <t xml:space="preserve">3/11</t>
  </si>
  <si>
    <t xml:space="preserve">4/7</t>
  </si>
  <si>
    <t xml:space="preserve">0.999999999912023</t>
  </si>
  <si>
    <t xml:space="preserve">myosin, heavy chain 9, non-muscle</t>
  </si>
  <si>
    <t xml:space="preserve">FUNCTION: Cellular myosin that appears to play a role in cytokinesis, cell shape, and specialized functions such as secretion and capping. During cell spreading, plays an important role in cytoskeleton reorganization, focal contacts formation (in the margins but not the central part of spreading cells), and lamellipodial retraction; this function is mechanically antagonized by MYH10. {ECO:0000269|PubMed:20052411}.; </t>
  </si>
  <si>
    <t xml:space="preserve">DISEASE: May-Hegglin anomaly (MHA) [MIM:155100]: A disorder characterized by thrombocytopenia, giant platelets and Dohle body- like inclusions in peripheral blood leukocytes. appearing as highly parallel paracrystalline bodies. {ECO:0000269|PubMed:10973260, ECO:0000269|PubMed:12533692, ECO:0000269|PubMed:12792306}. Note=The disease is caused by mutations affecting the gene represented in this entry.; DISEASE: Sebastian syndrome (SBS) [MIM:605249]: Autosomal dominant macrothrombocytopenia characterized by thrombocytopenia, giant platelets and leukocyte inclusions that are smaller and less organized than in May-Hegglin anomaly. {ECO:0000269|PubMed:12533692}. Note=The disease is caused by mutations affecting the gene represented in this entry.; DISEASE: Fechtner syndrome (FTNS) [MIM:153640]: Autosomal dominant macrothrombocytopenia characterized by thrombocytopenia, giant platelets and leukocyte inclusions that are small and poorly organized. Additionally, FTNS is distinguished by Alport-like clinical features of sensorineural deafness, cataracts and nephritis. {ECO:0000269|PubMed:10973259, ECO:0000269|PubMed:11776386, ECO:0000269|PubMed:12533692, ECO:0000269|PubMed:12792306}. Note=The disease is caused by mutations affecting the gene represented in this entry.; DISEASE: Alport syndrome, with macrothrombocytopenia (APSM) [MIM:153650]: An autosomal dominant disorder characterized by the association of ocular lesions, sensorineural hearing loss and nephritis (Alport syndrome) with platelet defects. {ECO:0000269|PubMed:11590545}. Note=The disease is caused by mutations affecting the gene represented in this entry.; DISEASE: Epstein syndrome (EPS) [MIM:153650]: An autosomal dominant disorder characterized by the association of macrothrombocytopathy, sensorineural hearing loss and nephritis. {ECO:0000269|PubMed:11752022, ECO:0000269|PubMed:11935325, ECO:0000269|PubMed:12533692, ECO:0000269|PubMed:12792306, ECO:0000269|PubMed:16969870}. Note=The disease is caused by mutations affecting the gene represented in this entry.; DISEASE: Deafness, autosomal dominant, 17 (DFNA17) [MIM:603622]: A form of deafness characterized by progressive high frequency hearing impairment and cochleosaccular degeneration. {ECO:0000269|PubMed:11023810}. Note=The disease is caused by mutations affecting the gene represented in this entry.; DISEASE: Macrothrombocytopenia and progressive sensorineural deafness (MPSD) [MIM:600208]: An autosomal dominant disorder characterized by the association of macrothrombocytopathy and progressive sensorineural hearing loss without renal dysfunction. {ECO:0000269|PubMed:12621333}. Note=The disease is caused by mutations affecting the gene represented in this entry.; DISEASE: Note=Subjects with mutations in the motor domain of MYH9 present with severe thrombocytopenia and develop nephritis and deafness before the age of 40 years, while those with mutations in the tail domain have a much lower risk of noncongenital complications and significantly higher platelet counts. The clinical course of patients with mutations in the four most frequently affected residues of MYH9 (responsible for 70% of MYH9- related cases) were evaluated. Mutations at residue 1933 do not induce kidney damage or cataracts and cause deafness only in the elderly, those in position 702 result in severe thrombocytopenia and produce nephritis and deafness at a juvenile age, while alterations at residue 1424 or 1841 result in intermediate clinical pictures.; DISEASE: Note=Genetic variations in MYH9 are associated with non- diabetic end stage renal disease (ESRD).; </t>
  </si>
  <si>
    <t xml:space="preserve">chr1</t>
  </si>
  <si>
    <t xml:space="preserve">985.64</t>
  </si>
  <si>
    <t xml:space="preserve">90</t>
  </si>
  <si>
    <t xml:space="preserve">49,41</t>
  </si>
  <si>
    <t xml:space="preserve">CM080169</t>
  </si>
  <si>
    <t xml:space="preserve">CTRC:NM_007272:exon7:c.C760T:p.R254W;CTRC:uc001awj.1:exon6:c.C614T:p.P205L,CTRC:uc001awi.1:exon7:c.C760T:p.R254W;ENSG00000162438:ENST00000375949:exon7:c.C760T:p.R254W</t>
  </si>
  <si>
    <t xml:space="preserve">9/10</t>
  </si>
  <si>
    <t xml:space="preserve">1/7</t>
  </si>
  <si>
    <t xml:space="preserve">Conflicting_interpretations_of_pathogenicity,_risk_factor</t>
  </si>
  <si>
    <t xml:space="preserve">5.21992306515278e-06</t>
  </si>
  <si>
    <t xml:space="preserve">chymotrypsin C</t>
  </si>
  <si>
    <t xml:space="preserve">FUNCTION: Regulates activation and degradation of trypsinogens and procarboxypeptidases by targeting specific cleavage sites within their zymogen precursors. Has chymotrypsin-type protease activity and hypocalcemic activity. {ECO:0000269|PubMed:23430245}.; </t>
  </si>
  <si>
    <t xml:space="preserve">chr6</t>
  </si>
  <si>
    <t xml:space="preserve">455.64</t>
  </si>
  <si>
    <t xml:space="preserve">40</t>
  </si>
  <si>
    <t xml:space="preserve">22,18</t>
  </si>
  <si>
    <t xml:space="preserve">CM004468</t>
  </si>
  <si>
    <t xml:space="preserve">EPM2A:NM_001018041:exon1:c.C163A:p.Q55K,EPM2A:NM_001360057:exon1:c.C163A:p.Q55K,EPM2A:NM_001368130:exon1:c.C163A:p.Q55K,EPM2A:NM_005670:exon1:c.C163A:p.Q55K;EPM2A:uc003qkv.3:exon1:c.C163A:p.Q55K,EPM2A:uc003qkw.3:exon1:c.C163A:p.Q55K,EPM2A:uc010khr.3:exon1:c.C163A:p.Q55K;ENSG00000112425:ENST00000367519:exon1:c.C163A:p.Q55K</t>
  </si>
  <si>
    <t xml:space="preserve">3.58971451329325e-05</t>
  </si>
  <si>
    <t xml:space="preserve">epilepsy, progressive myoclonus type 2A, Lafora disease (laforin)</t>
  </si>
  <si>
    <t xml:space="preserve">chr13</t>
  </si>
  <si>
    <t xml:space="preserve">290.64</t>
  </si>
  <si>
    <t xml:space="preserve">20</t>
  </si>
  <si>
    <t xml:space="preserve">10,10</t>
  </si>
  <si>
    <t xml:space="preserve">CD972074;CM003133</t>
  </si>
  <si>
    <t xml:space="preserve">BRCA2:NM_000059:exon11:c.G4258T:p.D1420Y;BRCA2:uc001uub.1:exon11:c.G4258T:p.D1420Y;ENSG00000139618:ENST00000380152:exon11:c.G4258T:p.D1420Y,ENSG00000139618:ENST00000544455:exon11:c.G4258T:p.D1420Y</t>
  </si>
  <si>
    <t xml:space="preserve">4/10</t>
  </si>
  <si>
    <t xml:space="preserve">Benign</t>
  </si>
  <si>
    <t xml:space="preserve">2</t>
  </si>
  <si>
    <t xml:space="preserve">2.21312120661867e-15</t>
  </si>
  <si>
    <t xml:space="preserve">breast cancer 2</t>
  </si>
  <si>
    <t xml:space="preserve">FUNCTION: Involved in double-strand break repair and/or homologous recombination. Binds RAD51 and potentiates recombinational DNA repair by promoting assembly of RAD51 onto single-stranded DNA (ssDNA). Acts by targeting RAD51 to ssDNA over double-stranded DNA, enabling RAD51 to displace replication protein-A (RPA) from ssDNA and stabilizing RAD51-ssDNA filaments by blocking ATP hydrolysis. Part of a PALB2-scaffolded HR complex containing RAD51C and which is thought to play a role in DNA repair by HR. May participate in S phase checkpoint activation. Binds selectively to ssDNA, and to ssDNA in tailed duplexes and replication fork structures. May play a role in the extension step after strand invasion at replication-dependent DNA double-strand breaks; together with PALB2 is involved in both POLH localization at collapsed replication forks and DNA polymerization activity. In concert with NPM1, regulates centrosome duplication. Interacts with the TREX-2 complex (transcription and export complex 2) subunits PCID2 and SHFM1/DSS1, and is required to prevent R-loop- associated DNA damage and thus transcription-associated genomic instability. Silencing of BRCA2 promotes R-loop accumulation at actively transcribed genes in replicating and non-replicating cells, suggesting that BRCA2 mediates the control of R-loop associated genomic instability, independently of its known role in homologous recombination (PubMed:24896180). {ECO:0000269|PubMed:15115758, ECO:0000269|PubMed:15199141, ECO:0000269|PubMed:15671039, ECO:0000269|PubMed:18317453, ECO:0000269|PubMed:20729832, ECO:0000269|PubMed:20729858, ECO:0000269|PubMed:20729859, ECO:0000269|PubMed:21084279, ECO:0000269|PubMed:24485656, ECO:0000269|PubMed:24896180}.; </t>
  </si>
  <si>
    <t xml:space="preserve">DISEASE: Breast cancer (BC) [MIM:114480]: A common malignancy originating from breast epithelial tissue. Breast neoplasms can be distinguished by their histologic pattern. Invasive ductal carcinoma is by far the most common type. Breast cancer is etiologically and genetically heterogeneous. Important genetic factors have been indicated by familial occurrence and bilateral involvement. Mutations at more than one locus can be involved in different families or even in the same case. {ECO:0000269|PubMed:10399947, ECO:0000269|PubMed:10978364, ECO:0000269|PubMed:11139248, ECO:0000269|PubMed:11241844, ECO:0000269|PubMed:11948477, ECO:0000269|PubMed:12145750, ECO:0000269|PubMed:12373604, ECO:0000269|PubMed:12442274, ECO:0000269|PubMed:12442275, ECO:0000269|PubMed:12938098, ECO:0000269|PubMed:14722926, ECO:0000269|PubMed:15026808, ECO:0000269|PubMed:15172753, ECO:0000269|PubMed:15365993, ECO:0000269|PubMed:8640237, ECO:0000269|PubMed:9150152, ECO:0000269|PubMed:9609997, ECO:0000269|PubMed:9654203, ECO:0000269|PubMed:9971877}. Note=Disease susceptibility is associated with variations affecting the gene represented in this entry.; DISEASE: Pancreatic cancer 2 (PNCA2) [MIM:613347]: A malignant neoplasm of the pancreas. Tumors can arise from both the exocrine and endocrine portions of the pancreas, but 95% of them develop from the exocrine portion, including the ductal epithelium, acinar cells, connective tissue, and lymphatic tissue. {ECO:0000269|PubMed:9140390}. Note=The disease is caused by mutations affecting the gene represented in this entry.; DISEASE: Breast-ovarian cancer, familial, 2 (BROVCA2) [MIM:612555]: A condition associated with familial predisposition to cancer of the breast and ovaries. Characteristic features in affected families are an early age of onset of breast cancer (often before age 50), increased chance of bilateral cancers (cancer that develop in both breasts, or both ovaries, independently), frequent occurrence of breast cancer among men, increased incidence of tumors of other specific organs, such as the prostate. Note=Disease susceptibility is associated with variations affecting the gene represented in this entry.; DISEASE: Fanconi anemia complementation group D1 (FANCD1) [MIM:605724]: A disorder affecting all bone marrow elements and resulting in anemia, leukopenia and thrombopenia. It is associated with cardiac, renal and limb malformations, dermal pigmentary changes, and a predisposition to the development of malignancies. At the cellular level it is associated with hypersensitivity to DNA-damaging agents, chromosomal instability (increased chromosome breakage) and defective DNA repair. {ECO:0000269|PubMed:12065746, ECO:0000269|PubMed:14670928, ECO:0000269|PubMed:16825431}. Note=The disease is caused by mutations affecting the gene represented in this entry.; DISEASE: Glioma 3 (GLM3) [MIM:613029]: Gliomas are benign or malignant central nervous system neoplasms derived from glial cells. They comprise astrocytomas and glioblastoma multiforme that are derived from astrocytes, oligodendrogliomas derived from oligodendrocytes and ependymomas derived from ependymocytes. {ECO:0000269|PubMed:15689453}. Note=The disease is caused by mutations affecting the gene represented in this entry.; </t>
  </si>
  <si>
    <t xml:space="preserve">chr20</t>
  </si>
  <si>
    <t xml:space="preserve">1525.64</t>
  </si>
  <si>
    <t xml:space="preserve">117</t>
  </si>
  <si>
    <t xml:space="preserve">62,55</t>
  </si>
  <si>
    <t xml:space="preserve">BM1332435</t>
  </si>
  <si>
    <t xml:space="preserve">LAMA5:NM_005560:exon80:c.G11053A:p.G3685R;LAMA5:uc002ycq.3:exon80:c.G11053A:p.G3685R,LAMA5:uc021wfw.1:exon80:c.G11038A:p.G3680R;ENSG00000130702:ENST00000252999:exon80:c.G11053A:p.G3685R</t>
  </si>
  <si>
    <t xml:space="preserve">3/7</t>
  </si>
  <si>
    <t xml:space="preserve">Likely_benign</t>
  </si>
  <si>
    <t xml:space="preserve">0.943037981027839</t>
  </si>
  <si>
    <t xml:space="preserve">laminin subunit alpha 5</t>
  </si>
  <si>
    <t xml:space="preserve">FUNCTION: Binding to cells via a high affinity receptor, laminin is thought to mediate the attachment, migration and organization of cells into tissues during embryonic development by interacting with other extracellular matrix components.; </t>
  </si>
  <si>
    <t xml:space="preserve">331.64</t>
  </si>
  <si>
    <t xml:space="preserve">37</t>
  </si>
  <si>
    <t xml:space="preserve">20,17</t>
  </si>
  <si>
    <t xml:space="preserve">PTPN22:NM_012411:exon16:c.G2085C:p.K695N,PTPN22:NM_001308297:exon17:c.G2178C:p.K726N,PTPN22:NM_001193431:exon18:c.G2166C:p.K722N,PTPN22:NM_015967:exon18:c.G2250C:p.K750N;PTPN22:uc009wgs.2:exon13:c.G1869C:p.K623N,PTPN22:uc010owo.2:exon14:c.G1518C:p.K506N,PTPN22:uc009wgq.3:exon16:c.G2085C:p.K695N,PTPN22:uc021ory.1:exon17:c.G2178C:p.K726N,PTPN22:uc001eds.3:exon18:c.G2250C:p.K750N,PTPN22:uc009wgr.2:exon18:c.G2250C:p.K750N,PTPN22:uc021orx.1:exon18:c.G2166C:p.K722N;ENSG00000134242:ENST00000525799:exon13:c.G1869C:p.K623N,ENSG00000134242:ENST00000538253:exon14:c.G1518C:p.K506N,ENSG00000134242:ENST00000528414:exon16:c.G2085C:p.K695N,ENSG00000134242:ENST00000359785:exon18:c.G2250C:p.K750N,ENSG00000134242:ENST00000420377:exon18:c.G2250C:p.K750N</t>
  </si>
  <si>
    <t xml:space="preserve">6/10</t>
  </si>
  <si>
    <t xml:space="preserve">Uncertain_significance</t>
  </si>
  <si>
    <t xml:space="preserve">3.0777571006681e-16</t>
  </si>
  <si>
    <t xml:space="preserve">protein tyrosine phosphatase, non-receptor type 22</t>
  </si>
  <si>
    <t xml:space="preserve">FUNCTION: Acts as negative regulator of T-cell receptor (TCR) signaling by direct dephosphorylation of the Src family kinases LCK and FYN, ITAMs of the TCRz/CD3 complex, as well as ZAP70, VAV, VCP and other key signaling molecules (PubMed:16461343, PubMed:18056643). Associates with and probably dephosphorylates CBL. Dephosphorylates LCK at its activating 'Tyr-394' residue (PubMed:21719704). Dephosphorylates ZAP70 at its activating 'Tyr- 493' residue (PubMed:16461343). Dephosphorylates the immune system activator SKAP2 (PubMed:21719704). Positively regulates toll-like receptor (TLR)-induced type 1 interferon production (PubMed:23871208). Promotes host antiviral responses mediated by type 1 interferon (By similarity). Regulates NOD2-induced pro- inflammatory cytokine secretion and autophagy (PubMed:23991106). {ECO:0000250|UniProtKB:P29352, ECO:0000269|PubMed:16461343, ECO:0000269|PubMed:18056643, ECO:0000269|PubMed:19167335, ECO:0000269|PubMed:21719704, ECO:0000269|PubMed:23871208, ECO:0000269|PubMed:23991106}.; </t>
  </si>
  <si>
    <t xml:space="preserve">DISEASE: Systemic lupus erythematosus (SLE) [MIM:152700]: A chronic, relapsing, inflammatory, and often febrile multisystemic disorder of connective tissue, characterized principally by involvement of the skin, joints, kidneys and serosal membranes. It is of unknown etiology, but is thought to represent a failure of the regulatory mechanisms of the autoimmune system. The disease is marked by a wide range of system dysfunctions, an elevated erythrocyte sedimentation rate, and the formation of LE cells in the blood or bone marrow. {ECO:0000269|PubMed:15273934}. Note=Disease susceptibility is associated with variations affecting the gene represented in this entry.; DISEASE: Diabetes mellitus, insulin-dependent (IDDM) [MIM:222100]: A multifactorial disorder of glucose homeostasis that is characterized by susceptibility to ketoacidosis in the absence of insulin therapy. Clinical features are polydipsia, polyphagia and polyuria which result from hyperglycemia-induced osmotic diuresis and secondary thirst. These derangements result in long-term complications that affect the eyes, kidneys, nerves, and blood vessels. {ECO:0000269|PubMed:15004560}. Note=Disease susceptibility is associated with variations affecting the gene represented in this entry.; DISEASE: Rheumatoid arthritis (RA) [MIM:180300]: An inflammatory disease with autoimmune features and a complex genetic component. It primarily affects the joints and is characterized by inflammatory changes in the synovial membranes and articular structures, widespread fibrinoid degeneration of the collagen fibers in mesenchymal tissues, and by atrophy and rarefaction of bony structures. {ECO:0000269|PubMed:15208781}. Note=Disease susceptibility is associated with variations affecting the gene represented in this entry.; DISEASE: Vitiligo (VTLG) [MIM:193200]: A pigmentary disorder of the skin and mucous membranes. It is characterized by circumscribed depigmented macules and patches, commonly on extensor aspects of extremities, on the face or neck and in skin folds. Vitiligo is a progressive disorder in which some or all of the melanocytes in the affected skin are selectively destroyed. It is a multifactorial disorder with a complex etiology probably including autoimmune mechanisms, and is associated with an elevated risk of other autoimmune diseases. {ECO:0000269|PubMed:16015369}. Note=Disease susceptibility is associated with variations affecting the gene represented in this entry.; </t>
  </si>
  <si>
    <t xml:space="preserve">1738.64</t>
  </si>
  <si>
    <t xml:space="preserve">287</t>
  </si>
  <si>
    <t xml:space="preserve">229,58</t>
  </si>
  <si>
    <t xml:space="preserve">KMT2C:NM_170606:exon18:c.C2961G:p.Y987X;KMT2C:uc003wkz.3:exon4:c.C144G:p.Y48X,KMT2C:uc003wla.3:exon18:c.C2961G:p.Y987X;ENSG00000055609:ENST00000262189:exon18:c.C2961G:p.Y987X,ENSG00000055609:ENST00000355193:exon18:c.C2961G:p.Y987X</t>
  </si>
  <si>
    <t xml:space="preserve">3/3</t>
  </si>
  <si>
    <t xml:space="preserve">Pathogenic</t>
  </si>
  <si>
    <t xml:space="preserve">0.999999999999997</t>
  </si>
  <si>
    <t xml:space="preserve">lysine methyltransferase 2C</t>
  </si>
  <si>
    <t xml:space="preserve">FUNCTION: Histone methyltransferase. Methylates 'Lys-4' of histone H3. H3 'Lys-4' methylation represents a specific tag for epigenetic transcriptional activation. Central component of the MLL2/3 complex, a coactivator complex of nuclear receptors, involved in transcriptional coactivation. KMT2C/MLL3 may be a catalytic subunit of this complex. May be involved in leukemogenesis and developmental disorder. {ECO:0000269|PubMed:17500065}.; </t>
  </si>
  <si>
    <t xml:space="preserve">NGS_HighStringency</t>
  </si>
  <si>
    <t xml:space="preserve">chr12</t>
  </si>
  <si>
    <t xml:space="preserve">TGTG</t>
  </si>
  <si>
    <t xml:space="preserve">-</t>
  </si>
  <si>
    <t xml:space="preserve">49.59</t>
  </si>
  <si>
    <t xml:space="preserve">11</t>
  </si>
  <si>
    <t xml:space="preserve">9,2</t>
  </si>
  <si>
    <t xml:space="preserve">UTR3;ncRNA_exonic</t>
  </si>
  <si>
    <t xml:space="preserve">NM_001111284:c.*3399_*3396delCACA;NM_001111283:c.*3433_*3430delCACA;NM_000618:c.*3399_*3396delCACA;ENST00000456098:c.*3433_*3430delCACA;ENST00000337514:c.*3399_*3396delCACA</t>
  </si>
  <si>
    <t xml:space="preserve">1;1</t>
  </si>
  <si>
    <t xml:space="preserve">0.469523496452965</t>
  </si>
  <si>
    <t xml:space="preserve">insulin like growth factor 1</t>
  </si>
  <si>
    <t xml:space="preserve">FUNCTION: The insulin-like growth factors, isolated from plasma, are structurally and functionally related to insulin but have a much higher growth-promoting activity. May be a physiological regulator of [1-14C]-2-deoxy-D-glucose (2DG) transport and glycogen synthesis in osteoblasts. Stimulates glucose transport in rat bone-derived osteoblastic (PyMS) cells and is effective at much lower concentrations than insulin, not only regarding glycogen and DNA synthesis but also with regard to enhancing glucose uptake. May play a role in synapse maturation. {ECO:0000269|PubMed:21076856, ECO:0000269|PubMed:24132240}.; </t>
  </si>
  <si>
    <t xml:space="preserve">DISEASE: Insulin-like growth factor I deficiency (IGF1 deficiency) [MIM:608747]: Autosomal recessive disorder characterized by growth retardation, sensorineural deafness and mental retardation. {ECO:0000269|PubMed:8857020}. Note=The disease is caused by mutations affecting the gene represented in this entry.; </t>
  </si>
  <si>
    <t xml:space="preserve">chr15</t>
  </si>
  <si>
    <t xml:space="preserve">1304.64</t>
  </si>
  <si>
    <t xml:space="preserve">92</t>
  </si>
  <si>
    <t xml:space="preserve">45,47</t>
  </si>
  <si>
    <t xml:space="preserve">on</t>
  </si>
  <si>
    <t xml:space="preserve">0.00263162333228221</t>
  </si>
  <si>
    <t xml:space="preserve">BUB1 mitotic checkpoint serine/threonine kinase B</t>
  </si>
  <si>
    <t xml:space="preserve">FUNCTION: Essential component of the mitotic checkpoint. Required for normal mitosis progression. The mitotic checkpoint delays anaphase until all chromosomes are properly attached to the mitotic spindle. One of its checkpoint functions is to inhibit the activity of the anaphase-promoting complex/cyclosome (APC/C) by blocking the binding of CDC20 to APC/C, independently of its kinase activity. The other is to monitor kinetochore activities that depend on the kinetochore motor CENPE. Required for kinetochore localization of CENPE. Negatively regulates PLK1 activity in interphase cells and suppresses centrosome amplification. Also implicated in triggering apoptosis in polyploid cells that exit aberrantly from mitotic arrest. May play a role for tumor suppression. {ECO:0000269|PubMed:10477750, ECO:0000269|PubMed:11702782, ECO:0000269|PubMed:14706340, ECO:0000269|PubMed:15020684, ECO:0000269|PubMed:19411850, ECO:0000269|PubMed:19503101}.; </t>
  </si>
  <si>
    <t xml:space="preserve">DISEASE: Note=Defects in BUB1B are associated with tumor formation.; DISEASE: Premature chromatid separation trait (PCS) [MIM:176430]: Consists of separate and splayed chromatids with discernible centromeres and involves all or most chromosomes of a metaphase. It is found in up to 2% of metaphases in cultured lymphocytes from approximately 40% of normal individuals. When PCS is present in 5% or more of cells, it is known as the heterozygous PCS trait and has no obvious phenotypic effect, although some have reported decreased fertility. Inheritance is autosomal dominant. {ECO:0000269|PubMed:16411201}. Note=The disease is caused by mutations affecting the gene represented in this entry.; DISEASE: Mosaic variegated aneuploidy syndrome 1 (MVA1) [MIM:257300]: A severe developmental disorder characterized by mosaic aneuploidies, predominantly trisomies and monosomies, involving multiple different chromosomes and tissues. Affected individuals typically present with severe intrauterine growth retardation and microcephaly. Eye anomalies, mild dysmorphism, variable developmental delay, and a broad spectrum of additional congenital abnormalities and medical conditions may also occur. The risk of malignancy is high, with rhabdomyosarcoma, Wilms tumor and leukemia reported in several cases. {ECO:0000269|PubMed:15475955}. Note=The disease is caused by mutations affecting the gene represented in this entry. MVA1 is caused by biallelic mutations in the BUB1B gene.; </t>
  </si>
  <si>
    <t xml:space="preserve">1257.64</t>
  </si>
  <si>
    <t xml:space="preserve">122</t>
  </si>
  <si>
    <t xml:space="preserve">70,52</t>
  </si>
  <si>
    <t xml:space="preserve">UTR3;ncRNA_intronic</t>
  </si>
  <si>
    <t xml:space="preserve">NM_001291858:c.*3440G&gt;A;NM_000875:c.*3440G&gt;A;uc002bul.3:c.*3440G&gt;A;uc010bon.3:c.*3440G&gt;A</t>
  </si>
  <si>
    <t xml:space="preserve">4</t>
  </si>
  <si>
    <t xml:space="preserve">0.552974259646112</t>
  </si>
  <si>
    <t xml:space="preserve">insulin like growth factor 1 receptor</t>
  </si>
  <si>
    <t xml:space="preserve">FUNCTION: Receptor tyrosine kinase which mediates actions of insulin-like growth factor 1 (IGF1). Binds IGF1 with high affinity and IGF2 and insulin (INS) with a lower affinity. The activated IGF1R is involved in cell growth and survival control. IGF1R is crucial for tumor transformation and survival of malignant cell. Ligand binding activates the receptor kinase, leading to receptor autophosphorylation, and tyrosines phosphorylation of multiple substrates, that function as signaling adapter proteins including, the insulin-receptor substrates (IRS1/2), Shc and 14-3-3 proteins. Phosphorylation of IRSs proteins lead to the activation of two main signaling pathways: the PI3K-AKT/PKB pathway and the Ras-MAPK pathway. The result of activating the MAPK pathway is increased cellular proliferation, whereas activating the PI3K pathway inhibits apoptosis and stimulates protein synthesis. Phosphorylated IRS1 can activate the 85 kDa regulatory subunit of PI3K (PIK3R1), leading to activation of several downstream substrates, including protein AKT/PKB. AKT phosphorylation, in turn, enhances protein synthesis through mTOR activation and triggers the antiapoptotic effects of IGFIR through phosphorylation and inactivation of BAD. In parallel to PI3K- driven signaling, recruitment of Grb2/SOS by phosphorylated IRS1 or Shc leads to recruitment of Ras and activation of the ras-MAPK pathway. In addition to these two main signaling pathways IGF1R signals also through the Janus kinase/signal transducer and activator of transcription pathway (JAK/STAT). Phosphorylation of JAK proteins can lead to phosphorylation/activation of signal transducers and activators of transcription (STAT) proteins. In particular activation of STAT3, may be essential for the transforming activity of IGF1R. The JAK/STAT pathway activates gene transcription and may be responsible for the transforming activity. JNK kinases can also be activated by the IGF1R. IGF1 exerts inhibiting activities on JNK activation via phosphorylation and inhibition of MAP3K5/ASK1, which is able to directly associate with the IGF1R.; </t>
  </si>
  <si>
    <t xml:space="preserve">DISEASE: Insulin-like growth factor 1 resistance (IGF1RES) [MIM:270450]: A disorder characterized by intrauterine growth retardation, poor postnatal growth and increased plasma IGF1 levels. {ECO:0000269|PubMed:14657428, ECO:0000269|PubMed:15928254}. Note=The disease is caused by mutations affecting the gene represented in this entry.; </t>
  </si>
  <si>
    <t xml:space="preserve">3309.06</t>
  </si>
  <si>
    <t xml:space="preserve">102</t>
  </si>
  <si>
    <t xml:space="preserve">0,102</t>
  </si>
  <si>
    <t xml:space="preserve">NM_139057:c.*1315C&gt;T;uc002bvv.1:c.*1315C&gt;T</t>
  </si>
  <si>
    <t xml:space="preserve">HOMO</t>
  </si>
  <si>
    <t xml:space="preserve">3.82852764002745e-11</t>
  </si>
  <si>
    <t xml:space="preserve">ADAM metallopeptidase with thrombospondin type 1 motif 17</t>
  </si>
  <si>
    <t xml:space="preserve">DISEASE: Weill-Marchesani-like syndrome (WMLS) [MIM:613195]: A disorder characterized by many of the key features of Weill- Marchesani syndrome, including lenticular myopia, ectopia lentis, glaucoma, spherophakia and short stature. However, the characteristic brachydactyly or decreased joint flexibility of Weill-Marchesani syndrome are absent. {ECO:0000269|PubMed:19836009}. Note=The disease is caused by mutations affecting the gene represented in this entry.; </t>
  </si>
  <si>
    <t xml:space="preserve">chr16</t>
  </si>
  <si>
    <t xml:space="preserve">930.64</t>
  </si>
  <si>
    <t xml:space="preserve">57</t>
  </si>
  <si>
    <t xml:space="preserve">24,33</t>
  </si>
  <si>
    <t xml:space="preserve">NM_001114331:c.*388C&gt;T;NM_001287:c.*388C&gt;T;uc002clu.3:c.*388C&gt;T;uc002clv.3:c.*388C&gt;T;uc002clw.3:c.*388C&gt;T</t>
  </si>
  <si>
    <t xml:space="preserve">0.981282976462541</t>
  </si>
  <si>
    <t xml:space="preserve">chloride voltage-gated channel 7</t>
  </si>
  <si>
    <t xml:space="preserve">FUNCTION: Slowly voltage-gated channel mediating the exchange of chloride ions against protons. Functions as antiporter and contributes to the acidification of the lysosome lumen. {ECO:0000269|PubMed:18449189, ECO:0000269|PubMed:21527911}.; </t>
  </si>
  <si>
    <t xml:space="preserve">DISEASE: Osteopetrosis, autosomal dominant 2 (OPTA2) [MIM:166600]: A rare genetic disease characterized by abnormally dense bone, due to defective resorption of immature bone. Osteopetrosis occurs in two forms: a severe autosomal recessive form occurring in utero, infancy, or childhood, and a benign autosomal dominant form occurring in adolescence or adulthood. OPTA2 is the most common form of osteopetrosis, occurring in adolescence or adulthood. It is characterized by sclerosis, predominantly involving the spine, the pelvis and the skull base. {ECO:0000269|PubMed:11741829, ECO:0000269|PubMed:14584882, ECO:0000269|PubMed:19953639}. Note=The disease is caused by mutations affecting the gene represented in this entry.; </t>
  </si>
  <si>
    <t xml:space="preserve">chr17</t>
  </si>
  <si>
    <t xml:space="preserve">1250.64</t>
  </si>
  <si>
    <t xml:space="preserve">105</t>
  </si>
  <si>
    <t xml:space="preserve">55,50</t>
  </si>
  <si>
    <t xml:space="preserve">uc002ilj.3:c.*1154G&gt;A</t>
  </si>
  <si>
    <t xml:space="preserve">0.141699544644917</t>
  </si>
  <si>
    <t xml:space="preserve">integrin subunit beta 3</t>
  </si>
  <si>
    <t xml:space="preserve">FUNCTION: Integrin alpha-V/beta-3 (ITGAV:ITGB3) is a receptor for cytotactin, fibronectin, laminin, matrix metalloproteinase-2, osteopontin, osteomodulin, prothrombin, thrombospondin, vitronectin and von Willebrand factor. Integrin alpha-IIb/beta-3 (ITGA2B:ITGB3) is a receptor for fibronectin, fibrinogen, plasminogen, prothrombin, thrombospondin and vitronectin. Integrins alpha-IIb/beta-3 and alpha-V/beta-3 recognize the sequence R-G-D in a wide array of ligands. Integrin alpha- IIb/beta-3 recognizes the sequence H-H-L-G-G-G-A-K-Q-A-G-D-V in fibrinogen gamma chain. Following activation integrin alpha- IIb/beta-3 brings about platelet/platelet interaction through binding of soluble fibrinogen. This step leads to rapid platelet aggregation which physically plugs ruptured endothelial surface. Fibrinogen binding enhances SELP expression in activated platelets (By similarity). {ECO:0000250|UniProtKB:O54890, ECO:0000269|PubMed:9195946, ECO:0000303|PubMed:16322781, ECO:0000303|PubMed:17635696}.; </t>
  </si>
  <si>
    <t xml:space="preserve">DISEASE: Glanzmann thrombasthenia (GT) [MIM:273800]: A common inherited disease of platelet aggregation. It is characterized by mucocutaneous bleeding of mild-to-moderate severity. GT has been classified clinically into types I and II. In type I, platelets show absence of the glycoprotein IIb-IIIa complexes at their surface and lack fibrinogen and clot retraction capability. In type II, the platelets express the GPIIb-IIIa complex at reduced levels, have detectable amounts of fibrinogen, and have low or moderate clot retraction capability. {ECO:0000269|PubMed:10233432, ECO:0000269|PubMed:11588040, ECO:0000269|PubMed:11897046, ECO:0000269|PubMed:12083483, ECO:0000269|PubMed:12353082, ECO:0000269|PubMed:1371279, ECO:0000269|PubMed:1438206, ECO:0000269|PubMed:15583747, ECO:0000269|PubMed:15634267, ECO:0000269|PubMed:15748237, ECO:0000269|PubMed:1602006, ECO:0000269|PubMed:20020534, ECO:0000269|PubMed:2392682, ECO:0000269|PubMed:8781422, ECO:0000269|PubMed:9215749, ECO:0000269|PubMed:9376589, ECO:0000269|PubMed:9684783, ECO:0000269|PubMed:9790984}. Note=The disease is caused by mutations affecting the gene represented in this entry.; DISEASE: Bleeding disorder, platelet-type 16 (BDPLT16) [MIM:187800]: An autosomal dominant form of congenital macrothrombocytopenia associated with platelet anisocytosis. It is a disorder of platelet production. Affected individuals may have no or only mildly increased bleeding tendency. In vitro studies show mild platelet functional abnormalities. {ECO:0000269|PubMed:18065693}. Note=The disease is caused by mutations affecting the gene represented in this entry.; </t>
  </si>
  <si>
    <t xml:space="preserve">chr19</t>
  </si>
  <si>
    <t xml:space="preserve">1818.64</t>
  </si>
  <si>
    <t xml:space="preserve">53,65</t>
  </si>
  <si>
    <t xml:space="preserve">NM_001282333:c.*740T&gt;C;NM_024075:c.*1049T&gt;C;NM_001282332:c.*1049T&gt;C;NM_001077446:c.*1049T&gt;C;uc002qdu.3:c.*1049T&gt;C;uc002qdv.3:c.*1049T&gt;C;uc002qdw.3:c.*1049T&gt;C</t>
  </si>
  <si>
    <t xml:space="preserve">0.396480812083883</t>
  </si>
  <si>
    <t xml:space="preserve">tRNA splicing endonuclease subunit 34</t>
  </si>
  <si>
    <t xml:space="preserve">FUNCTION: Constitutes one of the two catalytic subunit of the tRNA-splicing endonuclease complex, a complex responsible for identification and cleavage of the splice sites in pre-tRNA. It cleaves pre-tRNA at the 5'- and 3'-splice sites to release the intron. The products are an intron and two tRNA half-molecules bearing 2',3'-cyclic phosphate and 5'-OH termini. There are no conserved sequences at the splice sites, but the intron is invariably located at the same site in the gene, placing the splice sites an invariant distance from the constant structural features of the tRNA body. It probably carries the active site for 3'-splice site cleavage. The tRNA splicing endonuclease is also involved in mRNA processing via its association with pre-mRNA 3'- end processing factors, establishing a link between pre-tRNA splicing and pre-mRNA 3'-end formation, suggesting that the endonuclease subunits function in multiple RNA-processing events. {ECO:0000269|PubMed:15109492}.; </t>
  </si>
  <si>
    <t xml:space="preserve">DISEASE: Pontocerebellar hypoplasia 2C (PCH2C) [MIM:612390]: A disorder characterized by an abnormally small cerebellum and brainstem, and progressive microcephaly from birth combined with extrapyramidal dyskinesia. Severe chorea occurs and epilepsy is frequent. There are no signs of spinal cord anterior horn cells degeneration. {ECO:0000269|PubMed:18711368}. Note=The disease is caused by mutations affecting the gene represented in this entry.; </t>
  </si>
  <si>
    <t xml:space="preserve">AA</t>
  </si>
  <si>
    <t xml:space="preserve">735.01</t>
  </si>
  <si>
    <t xml:space="preserve">24</t>
  </si>
  <si>
    <t xml:space="preserve">2,4,18</t>
  </si>
  <si>
    <t xml:space="preserve">NM_001146055:c.*1309_*1310insTT;NM_001146054:c.*1309_*1310insTT;NM_007308:c.*1309_*1310insTT;NM_000345:c.*1309_*1310insTT;uc010ikt.4:c.*1309_*1310insTT;uc003hsq.3:c.*1309_*1310insTT;uc003hso.3:c.*1309_*1310insTT;uc031sgd.1:c.*1309_*1310insTT;uc003hsp.3:c.*1309_*1310insTT;uc031sgg.1:c.*1309_*1310insTT;uc031sgh.1:c.*1309_*1310insTT;uc003hsr.3:c.*1309_*1310insTT;uc031sgj.1:c.*1309_*1310insTT</t>
  </si>
  <si>
    <t xml:space="preserve">1/2</t>
  </si>
  <si>
    <t xml:space="preserve">0.841962359247494</t>
  </si>
  <si>
    <t xml:space="preserve">synuclein alpha</t>
  </si>
  <si>
    <t xml:space="preserve">FUNCTION: May be involved in the regulation of dopamine release and transport. Induces fibrillization of microtubule-associated protein tau. Reduces neuronal responsiveness to various apoptotic stimuli, leading to a decreased caspase-3 activation.; </t>
  </si>
  <si>
    <t xml:space="preserve">DISEASE: Note=Genetic alterations of SNCA resulting in aberrant polymerization into fibrils, are associated with several neurodegenerative diseases (synucleinopathies). SNCA fibrillar aggregates represent the major non A-beta component of Alzheimer disease amyloid plaque, and a major component of Lewy body inclusions. They are also found within Lewy body (LB)-like intraneuronal inclusions, glial inclusions and axonal spheroids in neurodegeneration with brain iron accumulation type 1.; DISEASE: Parkinson disease 1 (PARK1) [MIM:168601]: A complex neurodegenerative disorder characterized by bradykinesia, resting tremor, muscular rigidity and postural instability. Additional features are characteristic postural abnormalities, dysautonomia, dystonic cramps, and dementia. The pathology of Parkinson disease involves the loss of dopaminergic neurons in the substantia nigra and the presence of Lewy bodies (intraneuronal accumulations of aggregated proteins), in surviving neurons in various areas of the brain. The disease is progressive and usually manifests after the age of 50 years, although early-onset cases (before 50 years) are known. The majority of the cases are sporadic suggesting a multifactorial etiology based on environmental and genetic factors. However, some patients present with a positive family history for the disease. Familial forms of the disease usually begin at earlier ages and are associated with atypical clinical features. {ECO:0000269|PubMed:23427326, ECO:0000269|PubMed:23457019, ECO:0000269|PubMed:24936070, ECO:0000269|PubMed:25561023, ECO:0000269|PubMed:9197268, ECO:0000269|PubMed:9462735}. Note=The disease is caused by mutations affecting the gene represented in this entry.; DISEASE: Parkinson disease 4 (PARK4) [MIM:605543]: A complex neurodegenerative disorder with manifestations ranging from typical Parkinson disease to dementia with Lewy bodies. Clinical features include parkinsonian symptoms (resting tremor, rigidity, postural instability and bradykinesia), dementia, diffuse Lewy body pathology, autonomic dysfunction, hallucinations and paranoia. Note=The disease is caused by mutations affecting the gene represented in this entry.; DISEASE: Dementia Lewy body (DLB) [MIM:127750]: A neurodegenerative disorder characterized by mental impairment leading to dementia, parkinsonism, fluctuating cognitive function, visual hallucinations, falls, syncopal episodes, and sensitivity to neuroleptic medication. Brainstem or cortical intraneuronal accumulations of aggregated proteins (Lewy bodies) are the only essential pathologic features. Patients may also have hippocampal and neocortical senile plaques, sometimes in sufficient number to fulfill the diagnostic criteria for Alzheimer disease. {ECO:0000269|PubMed:14755719}. Note=The disease is caused by mutations affecting the gene represented in this entry.; </t>
  </si>
  <si>
    <t xml:space="preserve">GAAC</t>
  </si>
  <si>
    <t xml:space="preserve">1605.60</t>
  </si>
  <si>
    <t xml:space="preserve">78,44</t>
  </si>
  <si>
    <t xml:space="preserve">frameshift deletion</t>
  </si>
  <si>
    <t xml:space="preserve">DUOX2:NM_001363711:exon22:c.2895_2898del:p.F966Sfs*29,DUOX2:NM_014080:exon22:c.2895_2898del:p.F966Sfs*29;DUOX2:uc001zun.3:exon22:c.2895_2898del:p.F966Sfs*29,DUOX2:uc010bea.3:exon22:c.2895_2898del:p.F966Sfs*29;ENSG00000140279:ENST00000389039:exon22:c.2895_2898del:p.F966Sfs*29,ENSG00000140279:ENST00000603300:exon22:c.2895_2898del:p.F966Sfs*29</t>
  </si>
  <si>
    <t xml:space="preserve">Pathogenic/Likely_pathogenic</t>
  </si>
  <si>
    <t xml:space="preserve">1.8967607743652e-37</t>
  </si>
  <si>
    <t xml:space="preserve">dual oxidase 2</t>
  </si>
  <si>
    <t xml:space="preserve">FUNCTION: Generates hydrogen peroxide which is required for the activity of thyroid peroxidase/TPO and lactoperoxidase/LPO. Plays a role in thyroid hormones synthesis and lactoperoxidase-mediated antimicrobial defense at the surface of mucosa. May have its own peroxidase activity through its N-terminal peroxidase-like domain. {ECO:0000269|PubMed:12824283}.; </t>
  </si>
  <si>
    <t xml:space="preserve">DISEASE: Thyroid dyshormonogenesis 6 (TDH6) [MIM:607200]: A disorder due to a defective conversion of accumulated iodide to organically bound iodine. The iodide organification defect can be partial or complete. {ECO:0000269|PubMed:12110737, ECO:0000269|PubMed:16134168, ECO:0000269|PubMed:16322276, ECO:0000269|PubMed:20187165}. Note=The disease is caused by mutations affecting the gene represented in this entry.; </t>
  </si>
  <si>
    <t xml:space="preserve">chr3</t>
  </si>
  <si>
    <t xml:space="preserve">199.60</t>
  </si>
  <si>
    <t xml:space="preserve">119</t>
  </si>
  <si>
    <t xml:space="preserve">98,21</t>
  </si>
  <si>
    <t xml:space="preserve">frameshift insertion</t>
  </si>
  <si>
    <t xml:space="preserve">USF3:NM_001009899:exon7:c.3047dupA:p.N1016Kfs*9;KIAA2018:uc003eal.3:exon3:c.2879dupA:p.N960Kfs*9,KIAA2018:uc003eam.3:exon7:c.3047dupA:p.N1016Kfs*9;ENSG00000176542:ENST00000478658:exon5:c.3047dupA:p.N1016Kfs*9,ENSG00000176542:ENST00000316407:exon7:c.3047dupA:p.N1016Kfs*9</t>
  </si>
  <si>
    <t xml:space="preserve">not_provided</t>
  </si>
  <si>
    <t xml:space="preserve">upstream transcription factor family member 3</t>
  </si>
  <si>
    <t xml:space="preserve">33.60</t>
  </si>
  <si>
    <t xml:space="preserve">25</t>
  </si>
  <si>
    <t xml:space="preserve">20,5</t>
  </si>
  <si>
    <t xml:space="preserve">exonic;intronic</t>
  </si>
  <si>
    <t xml:space="preserve">CCNC:uc003pqf.3:exon5:c.423dupT:p.S142*;ENSG00000112237:ENST00000482541:exon5:c.423dupT:p.S142*</t>
  </si>
  <si>
    <t xml:space="preserve">0.990104533528106</t>
  </si>
  <si>
    <t xml:space="preserve">cyclin C</t>
  </si>
  <si>
    <t xml:space="preserve">FUNCTION: Component of the Mediator complex, a coactivator involved in regulated gene transcription of nearly all RNA polymerase II-dependent genes. Mediator functions as a bridge to convey information from gene-specific regulatory proteins to the basal RNA polymerase II transcription machinery. Mediator is recruited to promoters by direct interactions with regulatory proteins and serves as a scaffold for the assembly of a functional preinitiation complex with RNA polymerase II and the general transcription factors. Binds to and activates cyclin-dependent kinase CDK8 that phosphorylates the CTD (C-terminal domain) of the large subunit of RNA polymerase II (RNAp II), which may inhibit the formation of a transcription initiation complex. {ECO:0000269|PubMed:16595664, ECO:0000269|PubMed:8700522}.; </t>
  </si>
  <si>
    <t xml:space="preserve">REC</t>
  </si>
  <si>
    <t xml:space="preserve">1607.60</t>
  </si>
  <si>
    <t xml:space="preserve">109</t>
  </si>
  <si>
    <t xml:space="preserve">57,52</t>
  </si>
  <si>
    <t xml:space="preserve">M1AP:NM_001281295:exon5:c.676dupT:p.W226Lfs*4,M1AP:NM_001281296:exon5:c.676dupT:p.W226Lfs*4,M1AP:NM_001321739:exon5:c.676dupT:p.W226Lfs*4,M1AP:NM_138804:exon5:c.676dupT:p.W226Lfs*4;M1AP:uc002smy.3:exon5:c.676dupT:p.W226Lfs*4,M1AP:uc002smz.2:exon5:c.676dupT:p.W226Lfs*4,M1AP:uc010ysa.2:exon5:c.676dupT:p.W226Lfs*4;ENSG00000159374:ENST00000409585:exon4:c.676dupT:p.W226Lfs*4,ENSG00000159374:ENST00000290536:exon5:c.676dupT:p.W226Lfs*4,ENSG00000159374:ENST00000536235:exon5:c.676dupT:p.W226Lfs*4</t>
  </si>
  <si>
    <t xml:space="preserve">Likely_pathogenic</t>
  </si>
  <si>
    <t xml:space="preserve">5.83274913656993e-12</t>
  </si>
  <si>
    <t xml:space="preserve">meiosis 1 associated protein</t>
  </si>
  <si>
    <t xml:space="preserve">FUNCTION: Required for meiosis I progression during spermatogenesis. {ECO:0000250}.; </t>
  </si>
  <si>
    <t xml:space="preserve">chr10</t>
  </si>
  <si>
    <t xml:space="preserve">895.64</t>
  </si>
  <si>
    <t xml:space="preserve">64</t>
  </si>
  <si>
    <t xml:space="preserve">32,32</t>
  </si>
  <si>
    <t xml:space="preserve">MPP7:NM_001318170:exon6:c.G316A:p.A106T,MPP7:NM_173496:exon8:c.G316A:p.A106T;MPP7:uc001iub.1:exon6:c.G316A:p.A106T,MPP7:uc009xla.2:exon6:c.G316A:p.A106T,MPP7:uc001iua.1:exon8:c.G316A:p.A106T;ENSG00000150054:ENST00000496637:exon5:c.G316A:p.A106T,ENSG00000150054:ENST00000540098:exon5:c.G316A:p.A106T,ENSG00000150054:ENST00000375732:exon6:c.G316A:p.A106T,ENSG00000150054:ENST00000337532:exon7:c.G316A:p.A106T,ENSG00000150054:ENST00000375719:exon8:c.G316A:p.A106T</t>
  </si>
  <si>
    <t xml:space="preserve">7/10</t>
  </si>
  <si>
    <t xml:space="preserve">8.57971709426373e-07</t>
  </si>
  <si>
    <t xml:space="preserve">membrane protein, palmitoylated 7</t>
  </si>
  <si>
    <t xml:space="preserve">FUNCTION: Acts as an important adapter that promotes epithelial cell polarity and tight junction formation via its interaction with DLG1. Involved in the assembly of protein complexes at sites of cell-cell contact. {ECO:0000269|PubMed:17332497}.; </t>
  </si>
  <si>
    <t xml:space="preserve">593.64</t>
  </si>
  <si>
    <t xml:space="preserve">56</t>
  </si>
  <si>
    <t xml:space="preserve">34,22</t>
  </si>
  <si>
    <t xml:space="preserve">intronic;ncRNA_intronic</t>
  </si>
  <si>
    <t xml:space="preserve">B</t>
  </si>
  <si>
    <t xml:space="preserve">0.000700542902364641</t>
  </si>
  <si>
    <t xml:space="preserve">ATP binding cassette subfamily C member 9</t>
  </si>
  <si>
    <t xml:space="preserve">FUNCTION: Subunit of ATP-sensitive potassium channels (KATP). Can form cardiac and smooth muscle-type KATP channels with KCNJ11. KCNJ11 forms the channel pore while ABCC9 is required for activation and regulation. {ECO:0000269|PubMed:9831708}.; </t>
  </si>
  <si>
    <t xml:space="preserve">DISEASE: Cardiomyopathy, dilated 1O (CMD1O) [MIM:608569]: A disorder characterized by ventricular dilation and impaired systolic function, resulting in congestive heart failure and arrhythmia. Patients are at risk of premature death. {ECO:0000269|PubMed:15034580}. Note=The disease is caused by mutations affecting the gene represented in this entry.; DISEASE: Atrial fibrillation, familial, 12 (ATFB12) [MIM:614050]: A familial form of atrial fibrillation, a common sustained cardiac rhythm disturbance. Atrial fibrillation is characterized by disorganized atrial electrical activity and ineffective atrial contraction promoting blood stasis in the atria and reduces ventricular filling. It can result in palpitations, syncope, thromboembolic stroke, and congestive heart failure. {ECO:0000269|PubMed:17245405}. Note=The disease is caused by mutations affecting the gene represented in this entry.; DISEASE: Hypertrichotic osteochondrodysplasia (HTOCD) [MIM:239850]: A rare disorder characterized by congenital hypertrichosis, neonatal macrosomia, a distinct osteochondrodysplasia, and cardiomegaly. The hypertrichosis leads to thick scalp hair, which extends onto the forehead, and a general increase in body hair. In addition, macrocephaly and coarse facial features, including a broad nasal bridge, epicanthal folds, a wide mouth, and full lips, can be suggestive of a storage disorder. About half of affected individuals are macrosomic and edematous at birth, whereas in childhood they usually have a muscular appearance with little subcutaneous fat. Thickened calvarium, narrow thorax, wide ribs, flattened or ovoid vertebral bodies, coxa valga, osteopenia, enlarged medullary canals, and metaphyseal widening of long bones have been reported. Cardiac manifestations such as patent ductus arteriosus, ventricular hypertrophy, pulmonary hypertension, and pericardial effusions are present in approximately 80% of cases. Motor development is usually delayed due to hypotonia. Most patients have a mild speech delay, and a small percentage have learning difficulties or intellectual disability. {ECO:0000269|PubMed:22608503, ECO:0000269|PubMed:22610116}. Note=The disease is caused by mutations affecting the gene represented in this entry.; </t>
  </si>
  <si>
    <t xml:space="preserve">121.60</t>
  </si>
  <si>
    <t xml:space="preserve">116</t>
  </si>
  <si>
    <t xml:space="preserve">98,18</t>
  </si>
  <si>
    <t xml:space="preserve">MYO6:NM_001300899:exon26:c.2743dupA:p.Q918Tfs*24,MYO6:NM_001368136:exon26:c.2743dupA:p.Q918Tfs*24,MYO6:NM_001368137:exon26:c.2743dupA:p.Q918Tfs*24,MYO6:NM_001368138:exon26:c.2728dupA:p.Q913Tfs*24,MYO6:NM_001368865:exon26:c.2743dupA:p.Q918Tfs*24,MYO6:NM_001368866:exon26:c.2743dupA:p.Q918Tfs*24,MYO6:NM_004999:exon26:c.2743dupA:p.Q918Tfs*24;MYO6:uc003pii.1:exon25:c.2743dupA:p.Q918Tfs*24,MYO6:uc003pig.1:exon26:c.2743dupA:p.Q918Tfs*24,MYO6:uc003pih.1:exon26:c.2743dupA:p.Q918Tfs*24;ENSG00000196586:ENST00000369975:exon25:c.2743dupA:p.Q918Tfs*24,ENSG00000196586:ENST00000369977:exon26:c.2743dupA:p.Q918Tfs*24,ENSG00000196586:ENST00000369981:exon26:c.2743dupA:p.Q918Tfs*24,ENSG00000196586:ENST00000369985:exon26:c.2743dupA:p.Q918Tfs*24</t>
  </si>
  <si>
    <t xml:space="preserve">0.0177883990936548</t>
  </si>
  <si>
    <t xml:space="preserve">myosin VI</t>
  </si>
  <si>
    <t xml:space="preserve">FUNCTION: Myosins are actin-based motor molecules with ATPase activity. Unconventional myosins serve in intracellular movements. Myosin 6 is a reverse-direction motor protein that moves towards the minus-end of actin filaments. Has slow rate of actin-activated ADP release due to weak ATP binding. Functions in a variety of intracellular processes such as vesicular membrane trafficking and cell migration. Required for the structural integrity of the Golgi apparatus via the p53-dependent pro-survival pathway. Appears to be involved in a very early step of clathrin-mediated endocytosis in polarized epithelial cells. May act as a regulator of F-actin dynamics. May play a role in transporting DAB2 from the plasma membrane to specific cellular targets. Required for structural integrity of inner ear hair cells (By similarity). {ECO:0000250, ECO:0000269|PubMed:10519557, ECO:0000269|PubMed:11447109, ECO:0000269|PubMed:16507995, ECO:0000269|PubMed:16949370}.; </t>
  </si>
  <si>
    <t xml:space="preserve">DISEASE: Deafness, autosomal dominant, 22 (DFNA22) [MIM:606346]: A form of non-syndromic sensorineural hearing loss. Sensorineural deafness results from damage to the neural receptors of the inner ear, the nerve pathways to the brain, or the area of the brain that receives sound information. DFNA22 is progressive and postlingual, with onset during childhood. By the age of approximately 50 years, affected individuals invariably have profound sensorineural deafness. {ECO:0000269|PubMed:11468689}. Note=The disease is caused by mutations affecting the gene represented in this entry.; DISEASE: Deafness, autosomal recessive, 37 (DFNB37) [MIM:607821]: A form of non-syndromic sensorineural hearing loss. Sensorineural deafness results from damage to the neural receptors of the inner ear, the nerve pathways to the brain, or the area of the brain that receives sound information. {ECO:0000269|PubMed:12687499}. Note=The disease is caused by mutations affecting the gene represented in this entry.; DISEASE: Deafness, sensorineural, with hypertrophic cardiomyopathy (DFNHCM) [MIM:606346]: An autosomal dominant sensorineural deafness associated with hypertrophic cardiomyopathy. {ECO:0000269|PubMed:15060111}. Note=The disease is caused by mutations affecting the gene represented in this entry.; </t>
  </si>
  <si>
    <t xml:space="preserve">460.64</t>
  </si>
  <si>
    <t xml:space="preserve">38</t>
  </si>
  <si>
    <t xml:space="preserve">21,17</t>
  </si>
  <si>
    <t xml:space="preserve">synonymous SNV</t>
  </si>
  <si>
    <t xml:space="preserve">IRAK3:NM_001142523:exon3:c.A252G:p.K84K,IRAK3:NM_007199:exon4:c.A435G:p.K145K;IRAK3:uc010ssy.2:exon3:c.A252G:p.K84K,IRAK3:uc001sth.3:exon4:c.A435G:p.K145K;ENSG00000090376:ENST00000457197:exon3:c.A252G:p.K84K,ENSG00000090376:ENST00000261233:exon4:c.A435G:p.K145K</t>
  </si>
  <si>
    <t xml:space="preserve">3.58183663944626e-15</t>
  </si>
  <si>
    <t xml:space="preserve">interleukin 1 receptor associated kinase 3</t>
  </si>
  <si>
    <t xml:space="preserve">FUNCTION: Inhibits dissociation of IRAK1 and IRAK4 from the Toll- like receptor signaling complex by either inhibiting the phosphorylation of IRAK1 and IRAK4 or stabilizing the receptor complex. {ECO:0000250|UniProtKB:Q8K4B2, ECO:0000269|PubMed:10383454}.; </t>
  </si>
  <si>
    <t xml:space="preserve">1573.64</t>
  </si>
  <si>
    <t xml:space="preserve">101</t>
  </si>
  <si>
    <t xml:space="preserve">41,60</t>
  </si>
  <si>
    <t xml:space="preserve">LGR5:NM_001277226:exon14:c.G1210A:p.D404N,LGR5:NM_001277227:exon14:c.G1066A:p.D356N,LGR5:NM_003667:exon15:c.G1282A:p.D428N;LGR5:uc001swm.4:exon14:c.G1210A:p.D404N,LGR5:uc021rar.2:exon14:c.G1066A:p.D356N,LGR5:uc001swl.4:exon15:c.G1282A:p.D428N;ENSG00000139292:ENST00000536515:exon14:c.G1066A:p.D356N,ENSG00000139292:ENST00000540815:exon14:c.G1210A:p.D404N,ENSG00000139292:ENST00000266674:exon15:c.G1282A:p.D428N</t>
  </si>
  <si>
    <t xml:space="preserve">5/10</t>
  </si>
  <si>
    <t xml:space="preserve">5/7</t>
  </si>
  <si>
    <t xml:space="preserve">1.13571270342706e-05</t>
  </si>
  <si>
    <t xml:space="preserve">leucine-rich repeat containing G protein-coupled receptor 5</t>
  </si>
  <si>
    <t xml:space="preserve">FUNCTION: Receptor for R-spondins that potentiates the canonical Wnt signaling pathway and acts as a stem cell marker of the intestinal epithelium and the hair follicle. Upon binding to R- spondins (RSPO1, RSPO2, RSPO3 or RSPO4), associates with phosphorylated LRP6 and frizzled receptors that are activated by extracellular Wnt receptors, triggering the canonical Wnt signaling pathway to increase expression of target genes. In contrast to classical G-protein coupled receptors, does not activate heterotrimeric G-proteins to transduce the signal. Involved in the development and/or maintenance of the adult intestinal stem cells during postembryonic development. {ECO:0000269|PubMed:21693646, ECO:0000269|PubMed:21727895, ECO:0000269|PubMed:21909076, ECO:0000269|PubMed:22815884, ECO:0000269|PubMed:23809763}.; </t>
  </si>
  <si>
    <t xml:space="preserve">1979.64</t>
  </si>
  <si>
    <t xml:space="preserve">132</t>
  </si>
  <si>
    <t xml:space="preserve">55,77</t>
  </si>
  <si>
    <t xml:space="preserve">startloss</t>
  </si>
  <si>
    <t xml:space="preserve">AAGAB:NM_001271885:exon3:c.T2A:p.M1?,AAGAB:NM_001271886:exon3:c.T2A:p.M1?,AAGAB:NM_024666:exon3:c.T329A:p.M110K;AAGAB:uc002aqk.5:exon3:c.T329A:p.M110K,AAGAB:uc010uju.3:exon3:c.T2A:p.M1?,AAGAB:uc031qsm.1:exon3:c.T2A:p.M1?;ENSG00000103591:ENST00000261880:exon3:c.T329A:p.M110K,ENSG00000103591:ENST00000542650:exon3:c.T2A:p.M1?,ENSG00000103591:ENST00000560362:exon3:c.T2A:p.M1K,ENSG00000103591:ENST00000561452:exon3:c.T2A:p.M1?</t>
  </si>
  <si>
    <t xml:space="preserve">0.00810207313151983</t>
  </si>
  <si>
    <t xml:space="preserve">alpha- and gamma-adaptin binding protein</t>
  </si>
  <si>
    <t xml:space="preserve">FUNCTION: May be involved in endocytic recycling of growth factor receptors such as EGFR. {ECO:0000269|PubMed:23064416}.; </t>
  </si>
  <si>
    <t xml:space="preserve">1502.64</t>
  </si>
  <si>
    <t xml:space="preserve">128</t>
  </si>
  <si>
    <t xml:space="preserve">73,55</t>
  </si>
  <si>
    <t xml:space="preserve">0.000436998677210205</t>
  </si>
  <si>
    <t xml:space="preserve">phosphoglycerate dehydrogenase</t>
  </si>
  <si>
    <t xml:space="preserve">DISEASE: Phosphoglycerate dehydrogenase deficiency (PHGDHD) [MIM:601815]: An autosomal recessive inborn error of L-serine biosynthesis, clinically characterized by congenital microcephaly, psychomotor retardation, and seizures. {ECO:0000269|PubMed:11055895, ECO:0000269|PubMed:19235232}. Note=The disease is caused by mutations affecting the gene represented in this entry.; DISEASE: Neu-Laxova syndrome 1 (NLS1) [MIM:256520]: A lethal, autosomal recessive multiple malformation syndrome characterized by ichthyosis, marked intrauterine growth restriction, microcephaly, short neck, limb deformities, hypoplastic lungs, edema, and central nervous system anomalies including lissencephaly, cerebellar hypoplasia and/or abnormal/agenesis of the corpus callosum. Abnormal facial features include severe proptosis with ectropion, hypertelorism, micrognathia, flattened nose, and malformed ears. {ECO:0000269|PubMed:24836451}. Note=The disease is caused by mutations affecting the gene represented in this entry.; </t>
  </si>
  <si>
    <t xml:space="preserve">732.64</t>
  </si>
  <si>
    <t xml:space="preserve">66</t>
  </si>
  <si>
    <t xml:space="preserve">37,29</t>
  </si>
  <si>
    <t xml:space="preserve">PD</t>
  </si>
  <si>
    <t xml:space="preserve">3.68100336207458e-43</t>
  </si>
  <si>
    <t xml:space="preserve">Usher syndrome 2A (autosomal recessive, mild)</t>
  </si>
  <si>
    <t xml:space="preserve">FUNCTION: Involved in hearing and vision.; </t>
  </si>
  <si>
    <t xml:space="preserve">DISEASE: Usher syndrome 2A (USH2A) [MIM:276901]: USH is a genetically heterogeneous condition characterized by the association of retinitis pigmentosa with sensorineural deafness. Age at onset and differences in auditory and vestibular function distinguish Usher syndrome type 1 (USH1), Usher syndrome type 2 (USH2) and Usher syndrome type 3 (USH3). USH2 is characterized by congenital mild hearing impairment with normal vestibular responses. {ECO:0000269|PubMed:10729113, ECO:0000269|PubMed:10738000, ECO:0000269|PubMed:10909849, ECO:0000269|PubMed:11311042, ECO:0000269|PubMed:12112664, ECO:0000269|PubMed:12525556, ECO:0000269|PubMed:14970843, ECO:0000269|PubMed:15015129, ECO:0000269|PubMed:15025721, ECO:0000269|PubMed:15241801, ECO:0000269|PubMed:15325563, ECO:0000269|PubMed:17085681, ECO:0000269|PubMed:17405132, ECO:0000269|PubMed:18273898, ECO:0000269|PubMed:18452394, ECO:0000269|PubMed:19683999, ECO:0000269|PubMed:19737284, ECO:0000269|PubMed:20309401, ECO:0000269|PubMed:20440071, ECO:0000269|PubMed:20507924, ECO:0000269|PubMed:21593743, ECO:0000269|PubMed:21686329, ECO:0000269|PubMed:22004887, ECO:0000269|PubMed:23737954, ECO:0000269|PubMed:9624053}. Note=The disease is caused by mutations affecting the gene represented in this entry.; DISEASE: Retinitis pigmentosa 39 (RP39) [MIM:613809]: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{ECO:0000269|PubMed:10775529, ECO:0000269|PubMed:12112664, ECO:0000269|PubMed:12427073, ECO:0000269|PubMed:15325563, ECO:0000269|PubMed:16098008, ECO:0000269|PubMed:17296898, ECO:0000269|PubMed:20507924, ECO:0000269|PubMed:21686329, ECO:0000269|PubMed:22334370, ECO:0000269|PubMed:24227914}. Note=The disease is caused by mutations affecting the gene represented in this entry.; </t>
  </si>
  <si>
    <t xml:space="preserve">1273.64</t>
  </si>
  <si>
    <t xml:space="preserve">110</t>
  </si>
  <si>
    <t xml:space="preserve">62,48</t>
  </si>
  <si>
    <t xml:space="preserve">2.88608936958615e-23</t>
  </si>
  <si>
    <t xml:space="preserve">polycystic kidney and hepatic disease 1 (autosomal recessive)</t>
  </si>
  <si>
    <t xml:space="preserve">FUNCTION: May be required for correct bipolar cell division through the regulation of centrosome duplication and mitotic spindle assembly. May be a receptor protein that acts in collecting-duct and biliary differentiation. {ECO:0000269|PubMed:20554582}.; </t>
  </si>
  <si>
    <t xml:space="preserve">GACAGGTGAGCCCTTCCTTCCTCCCTCCATCCGC</t>
  </si>
  <si>
    <t xml:space="preserve">417.64</t>
  </si>
  <si>
    <t xml:space="preserve">21</t>
  </si>
  <si>
    <t xml:space="preserve">0,21</t>
  </si>
  <si>
    <t xml:space="preserve">FAM20C:NM_020223:exon4:c.951_952insGACAGGTGAGCCCTTCCTTCCTCCCTCCATCCGC:p.I320*;FAM20C:uc003sip.3:exon4:c.951_952insGACAGGTGAGCCCTTCCTTCCTCCCTCCATCCGC:p.I320*;ENSG00000177706:ENST00000313766:exon4:c.951_952insGACAGGTGAGCCCTTCCTTCCTCCCTCCATCCGC:p.I320*</t>
  </si>
  <si>
    <t xml:space="preserve">0.587993382102887</t>
  </si>
  <si>
    <t xml:space="preserve">family with sequence similarity 20 member C</t>
  </si>
  <si>
    <t xml:space="preserve">FUNCTION: Golgi serine/threonine protein kinase that phosphorylates secretory pathway proteins within Ser-x-Glu/pSer motifs and plays a key role in biomineralization of bones and teeth (PubMed:22582013, PubMed:23754375, PubMed:25789606). Constitutes the main protein kinase for extracellular proteins, generating the majority of the extracellular phosphoproteome (PubMed:26091039). Mainly phosphorylates proteins within the Ser- x-Glu/pSer motif, but also displays a broader substrate specificity (PubMed:26091039). Phosphorylates casein as well as a number of proteins involved in biomineralization such as AMELX, AMTN, ENAM and SPP1 (PubMed:22582013, PubMed:25789606). In addition to its role in biomineralization, also plays a role in lipid homeostasis, wound healing and cell migration and adhesion (PubMed:26091039). {ECO:0000269|PubMed:22582013, ECO:0000269|PubMed:23754375, ECO:0000269|PubMed:25789606, ECO:0000269|PubMed:26091039}.; </t>
  </si>
  <si>
    <t xml:space="preserve">DISEASE: Raine syndrome (RNS) [MIM:259775]: Autosomal recessive osteosclerotic bone dysplasia with neonatal lethal outcome. Clinical features include generalized osteosclerosis, craniofacial dysplasia and microcephaly. {ECO:0000269|PubMed:17924334, ECO:0000269|PubMed:22582013, ECO:0000269|PubMed:25789606}. Note=The disease is caused by mutations affecting the gene represented in this entry.; </t>
  </si>
  <si>
    <t xml:space="preserve">1229.64</t>
  </si>
  <si>
    <t xml:space="preserve">129</t>
  </si>
  <si>
    <t xml:space="preserve">79,50</t>
  </si>
  <si>
    <t xml:space="preserve">RNF186:NM_019062:exon1:c.C535T:p.R179X;RNF186:uc001bcr.3:exon1:c.C535T:p.R179X;ENSG00000178828:ENST00000375121:exon1:c.C535T:p.R179X</t>
  </si>
  <si>
    <t xml:space="preserve">0.0154783237731939</t>
  </si>
  <si>
    <t xml:space="preserve">ring finger protein 186</t>
  </si>
  <si>
    <t xml:space="preserve">6118.64</t>
  </si>
  <si>
    <t xml:space="preserve">270</t>
  </si>
  <si>
    <t xml:space="preserve">111,159</t>
  </si>
  <si>
    <t xml:space="preserve">CTBP2:NM_001321013:exon2:c.A22T:p.K8X,CTBP2:NM_001083914:exon3:c.A22T:p.K8X,CTBP2:NM_001290214:exon3:c.A22T:p.K8X,CTBP2:NM_001290215:exon3:c.A22T:p.K8X,CTBP2:NM_001321012:exon3:c.A22T:p.K8X,CTBP2:NM_001321014:exon3:c.A22T:p.K8X,CTBP2:NM_001329:exon3:c.A22T:p.K8X;CTBP2:uc001lif.4:exon3:c.A22T:p.K8X,CTBP2:uc001lih.4:exon3:c.A22T:p.K8X,CTBP2:uc009yak.3:exon3:c.A22T:p.K8X,CTBP2:uc009yal.3:exon3:c.A22T:p.K8X;ENSG00000175029:ENST00000337195:exon3:c.A22T:p.K8X,ENSG00000175029:ENST00000411419:exon3:c.A22T:p.K8X,ENSG00000175029:ENST00000494626:exon3:c.A22T:p.K8X,ENSG00000175029:ENST00000531469:exon3:c.A22T:p.K8X</t>
  </si>
  <si>
    <t xml:space="preserve">2/2</t>
  </si>
  <si>
    <t xml:space="preserve">3</t>
  </si>
  <si>
    <t xml:space="preserve">0.655184958473335</t>
  </si>
  <si>
    <t xml:space="preserve">C-terminal binding protein 2</t>
  </si>
  <si>
    <t xml:space="preserve">FUNCTION: Corepressor targeting diverse transcription regulators. Functions in brown adipose tissue (BAT) differentiation (By similarity). {ECO:0000250}.; </t>
  </si>
  <si>
    <t xml:space="preserve">chr11</t>
  </si>
  <si>
    <t xml:space="preserve">1116.64</t>
  </si>
  <si>
    <t xml:space="preserve">78</t>
  </si>
  <si>
    <t xml:space="preserve">33,45</t>
  </si>
  <si>
    <t xml:space="preserve">HSD17B12:NM_016142:exon3:c.A282G:p.I94M;HSD17B12:uc001mxq.4:exon3:c.A282G:p.I94M;ENSG00000149084:ENST00000278353:exon3:c.A282G:p.I94M,ENSG00000149084:ENST00000395700:exon3:c.A282G:p.I94M</t>
  </si>
  <si>
    <t xml:space="preserve">10/12</t>
  </si>
  <si>
    <t xml:space="preserve">0.00555447777759886</t>
  </si>
  <si>
    <t xml:space="preserve">hydroxysteroid (17-beta) dehydrogenase 12</t>
  </si>
  <si>
    <t xml:space="preserve">FUNCTION: Catalyzes the second of the four reactions of the long- chain fatty acids elongation cycle. This endoplasmic reticulum- bound enzymatic process, allows the addition of two carbons to the chain of long- and very long-chain fatty acids/VLCFAs per cycle. This enzyme has a 3-ketoacyl-CoA reductase activity, reducing 3- ketoacyl-CoA to 3-hydroxyacyl-CoA, within each cycle of fatty acid elongation. Thereby, it may participate to the production of VLCFAs of different chain lengths that are involved in multiple biological processes as precursors of membrane lipids and lipid mediators. May also catalyze the transformation of estrone (E1) into estradiol (E2) and play a role in estrogen formation. {ECO:0000269|PubMed:12482854, ECO:0000269|PubMed:16166196}.; </t>
  </si>
  <si>
    <t xml:space="preserve">1406.64</t>
  </si>
  <si>
    <t xml:space="preserve">64,53</t>
  </si>
  <si>
    <t xml:space="preserve">CCDC88B:NM_032251:exon14:c.G1916A:p.W639X;CCDC88B:uc001nzz.1:exon5:c.G863A:p.W288X,CCDC88B:uc001nzy.3:exon14:c.G1916A:p.W639X,CCDC88B:uc009ypo.2:exon14:c.G1907A:p.W636X;ENSG00000168071:ENST00000356786:exon14:c.G1916A:p.W639X</t>
  </si>
  <si>
    <t xml:space="preserve">0.000929045236295006</t>
  </si>
  <si>
    <t xml:space="preserve">coiled-coil domain containing 88B</t>
  </si>
  <si>
    <t xml:space="preserve">124.64</t>
  </si>
  <si>
    <t xml:space="preserve">17</t>
  </si>
  <si>
    <t xml:space="preserve">12,5</t>
  </si>
  <si>
    <t xml:space="preserve">CCDC15:NM_025004:exon13:c.G2309A:p.R770H;CCDC15:uc001qbm.4:exon13:c.G2309A:p.R770H;ENSG00000149548:ENST00000344762:exon13:c.G2309A:p.R770H,ENSG00000149548:ENST00000529051:exon13:c.G2309A:p.R770H</t>
  </si>
  <si>
    <t xml:space="preserve">3.21210263109898e-16</t>
  </si>
  <si>
    <t xml:space="preserve">coiled-coil domain containing 15</t>
  </si>
  <si>
    <t xml:space="preserve">841.64</t>
  </si>
  <si>
    <t xml:space="preserve">55,32</t>
  </si>
  <si>
    <t xml:space="preserve">KRT76:NM_015848:exon3:c.G826T:p.E276X;KRT76:uc001sax.3:exon3:c.G826T:p.E276X;ENSG00000185069:ENST00000332411:exon3:c.G826T:p.E276X</t>
  </si>
  <si>
    <t xml:space="preserve">6.27273672835566e-07</t>
  </si>
  <si>
    <t xml:space="preserve">keratin 76</t>
  </si>
  <si>
    <t xml:space="preserve">FUNCTION: Probably contributes to terminal cornification. {ECO:0000269|PubMed:1282112}.; </t>
  </si>
  <si>
    <t xml:space="preserve">1917.64</t>
  </si>
  <si>
    <t xml:space="preserve">148</t>
  </si>
  <si>
    <t xml:space="preserve">70,78</t>
  </si>
  <si>
    <t xml:space="preserve">TJP3:NM_001267560:exon20:c.C2641T:p.R881X,TJP3:NM_001267561:exon20:c.C2668T:p.R890X;TJP3:uc010xht.3:exon19:c.C2533T:p.R845X,TJP3:uc010xhw.3:exon19:c.C2641T:p.R881X,TJP3:uc010xhs.3:exon20:c.C2641T:p.R881X,TJP3:uc010xhu.3:exon20:c.C2668T:p.R890X;ENSG00000105289:ENST00000262968:exon19:c.C2740T:p.R914X,ENSG00000105289:ENST00000539908:exon19:c.C2533T:p.R845X,ENSG00000105289:ENST00000587686:exon19:c.C2698T:p.R900X,ENSG00000105289:ENST00000382008:exon20:c.C2683T:p.R895X,ENSG00000105289:ENST00000541714:exon20:c.C2641T:p.R881X,ENSG00000105289:ENST00000589378:exon20:c.C2668T:p.R890X</t>
  </si>
  <si>
    <t xml:space="preserve">2/3</t>
  </si>
  <si>
    <t xml:space="preserve">2.20425161433974e-21</t>
  </si>
  <si>
    <t xml:space="preserve">tight junction protein 3</t>
  </si>
  <si>
    <t xml:space="preserve">1707.64</t>
  </si>
  <si>
    <t xml:space="preserve">157</t>
  </si>
  <si>
    <t xml:space="preserve">92,65</t>
  </si>
  <si>
    <t xml:space="preserve">ZNF283:NM_001297752:exon6:c.A631T:p.K211X,ZNF283:NM_181845:exon7:c.A1048T:p.K350X;ZNF283:uc002oxp.4:exon6:c.A631T:p.K211X,ZNF283:uc002oxr.4:exon7:c.A1048T:p.K350X;ENSG00000167637:ENST00000588797:exon6:c.A631T:p.K211X,ENSG00000167637:ENST00000324461:exon7:c.A1048T:p.K350X</t>
  </si>
  <si>
    <t xml:space="preserve">4.46246793803596e-08</t>
  </si>
  <si>
    <t xml:space="preserve">zinc finger protein 283</t>
  </si>
  <si>
    <t xml:space="preserve">FUNCTION: May be involved in transcriptional regulation.; </t>
  </si>
  <si>
    <t xml:space="preserve">34.64</t>
  </si>
  <si>
    <t xml:space="preserve">52,12</t>
  </si>
  <si>
    <t xml:space="preserve">UTR5;exonic;ncRNA_intronic</t>
  </si>
  <si>
    <t xml:space="preserve">MYCN:NM_001293231:exon1:c.G100C:p.G34R,MYCN:NM_001293233:exon1:c.G100C:p.G34R;uc002rci.3:c.-1379G&gt;C</t>
  </si>
  <si>
    <t xml:space="preserve">0.913862107818068</t>
  </si>
  <si>
    <t xml:space="preserve">v-myc avian myelocytomatosis viral oncogene neuroblastoma derived homolog</t>
  </si>
  <si>
    <t xml:space="preserve">FUNCTION: Positively regulates the transcription of NCYM in neuroblastoma cells (PubMed:24391509). {ECO:0000269|PubMed:24391509}.; </t>
  </si>
  <si>
    <t xml:space="preserve">DISEASE: Note=Amplification of the N-MYC gene is associated with a variety of human tumors, most frequently neuroblastoma, where the level of amplification appears to increase as the tumor progresses. {ECO:0000269|PubMed:2834684}.; DISEASE: Feingold syndrome 1 (FGLDS1) [MIM:164280]: A syndrome characterized by variable combinations of esophageal and duodenal atresias, microcephaly, learning disability, mental retardation, and limb malformations. Hand and foot abnormalities may include hypoplastic thumbs, clinodactyly of second and fifth fingers, syndactyly (characteristically between second and third and fourth and fifth toes), and shortened or absent middle phalanges. Cardiac and renal malformations, vertebral anomalies, and deafness have also been described. {ECO:0000269|PubMed:15821734, ECO:0000269|PubMed:16906565}. Note=The disease is caused by mutations affecting the gene represented in this entry.; </t>
  </si>
  <si>
    <t xml:space="preserve">416.64</t>
  </si>
  <si>
    <t xml:space="preserve">158</t>
  </si>
  <si>
    <t xml:space="preserve">138,20</t>
  </si>
  <si>
    <t xml:space="preserve">exonic;intergenic</t>
  </si>
  <si>
    <t xml:space="preserve">ANKRD36C:NM_001310154:exon85:c.C6115T:p.Q2039X;dist=26859;dist=2168;ENSG00000174501:ENST00000420871:exon55:c.C2770T:p.Q924X,ENSG00000174501:ENST00000419039:exon56:c.C2098T:p.Q700X,ENSG00000174501:ENST00000456556:exon64:c.C5017T:p.Q1673X</t>
  </si>
  <si>
    <t xml:space="preserve">7</t>
  </si>
  <si>
    <t xml:space="preserve">ankyrin repeat domain 36C</t>
  </si>
  <si>
    <t xml:space="preserve">1908.64</t>
  </si>
  <si>
    <t xml:space="preserve">933</t>
  </si>
  <si>
    <t xml:space="preserve">780,153</t>
  </si>
  <si>
    <t xml:space="preserve">downstream;exonic</t>
  </si>
  <si>
    <t xml:space="preserve">ANKRD36C:NM_001310154:exon84:c.C5770T:p.Q1924X;dist=419;ENSG00000174501:ENST00000420871:exon54:c.C2425T:p.Q809X,ENSG00000174501:ENST00000419039:exon55:c.C1753T:p.Q585X,ENSG00000174501:ENST00000456556:exon63:c.C4672T:p.Q1558X</t>
  </si>
  <si>
    <t xml:space="preserve">1022.64</t>
  </si>
  <si>
    <t xml:space="preserve">107</t>
  </si>
  <si>
    <t xml:space="preserve">66,41</t>
  </si>
  <si>
    <t xml:space="preserve">STAT4:NM_001243835:exon16:c.C1337T:p.T446I,STAT4:NM_003151:exon16:c.C1337T:p.T446I;STAT4:uc010zgk.1:exon11:c.C872T:p.T291I,STAT4:uc002usm.2:exon16:c.C1337T:p.T446I,STAT4:uc002usn.2:exon16:c.C1337T:p.T446I,STAT4:uc002uso.2:exon16:c.C1337T:p.T446I;ENSG00000138378:ENST00000358470:exon16:c.C1337T:p.T446I,ENSG00000138378:ENST00000392320:exon16:c.C1337T:p.T446I</t>
  </si>
  <si>
    <t xml:space="preserve">9/11</t>
  </si>
  <si>
    <t xml:space="preserve">0.988867842653571</t>
  </si>
  <si>
    <t xml:space="preserve">signal transducer and activator of transcription 4</t>
  </si>
  <si>
    <t xml:space="preserve">FUNCTION: Carries out a dual function: signal transduction and activation of transcription. Involved in IL12 signaling.; </t>
  </si>
  <si>
    <t xml:space="preserve">DISEASE: Systemic lupus erythematosus 11 (SLEB11) [MIM:612253]: A chronic, relapsing, inflammatory, and often febrile multisystemic disorder of connective tissue, characterized principally by involvement of the skin, joints, kidneys and serosal membranes. It is of unknown etiology, but is thought to represent a failure of the regulatory mechanisms of the autoimmune system. The disease is marked by a wide range of system dysfunctions, an elevated erythrocyte sedimentation rate, and the formation of LE cells in the blood or bone marrow. {ECO:0000269|PubMed:19109131}. Note=Disease susceptibility is associated with variations affecting the gene represented in this entry.; DISEASE: Rheumatoid arthritis (RA) [MIM:180300]: An inflammatory disease with autoimmune features and a complex genetic component. It primarily affects the joints and is characterized by inflammatory changes in the synovial membranes and articular structures, widespread fibrinoid degeneration of the collagen fibers in mesenchymal tissues, and by atrophy and rarefaction of bony structures. {ECO:0000269|PubMed:17804842}. Note=Disease susceptibility is associated with variations affecting the gene represented in this entry.; </t>
  </si>
  <si>
    <t xml:space="preserve">505.64</t>
  </si>
  <si>
    <t xml:space="preserve">293</t>
  </si>
  <si>
    <t xml:space="preserve">262,31</t>
  </si>
  <si>
    <t xml:space="preserve">exonic;splicing</t>
  </si>
  <si>
    <t xml:space="preserve">GGTLC2:NM_001282879:exon4:c.A418G:p.I140V;GGTLC2:uc010gts.2:exon3:c.A418G:p.I140V;ENST00000448514:exon3:c.417+1A&gt;G</t>
  </si>
  <si>
    <t xml:space="preserve">1/5</t>
  </si>
  <si>
    <t xml:space="preserve">0.000421521541315101</t>
  </si>
  <si>
    <t xml:space="preserve">gamma-glutamyltransferase light chain 2</t>
  </si>
  <si>
    <t xml:space="preserve">2052.64</t>
  </si>
  <si>
    <t xml:space="preserve">74,83</t>
  </si>
  <si>
    <t xml:space="preserve">exonic;ncRNA_intronic</t>
  </si>
  <si>
    <t xml:space="preserve">TREX1:uc010hka.4:exon1:c.G45T:p.R15S,ATRIP:uc003ctj.3:exon2:c.G45T:p.R15S;ENSG00000213689:ENST00000422277:exon1:c.G45T:p.R15S</t>
  </si>
  <si>
    <t xml:space="preserve">3;3;3</t>
  </si>
  <si>
    <t xml:space="preserve">0.00148697990787471;0.093340719174628</t>
  </si>
  <si>
    <t xml:space="preserve">ATR interacting protein;three prime repair exonuclease 1</t>
  </si>
  <si>
    <t xml:space="preserve">FUNCTION: Major cellular 3'-to-5' DNA exonuclease which digests single-stranded DNA (ssDNA) and double-stranded DNA (dsDNA) with mismatched 3' termini. Prevents cell-intrinsic initiation of autoimmunity. Acts by metabolizing DNA fragments from endogenous retroelements, including L1, LTR and SINE elements. Unless degraded, these DNA fragments accumulate in the cytosol and activate the IFN-stimulatory DNA (ISD) response and innate immune signaling. Prevents chronic ATM-dependent checkpoint activation, by processing ssDNA polynucleotide species arising from the processing of aberrant DNA replication intermediates. Inefficiently degrades oxidized DNA, such as that generated upon antimicrobial reactive oxygen production or upon absorption of UV light. During GZMA-mediated cell death, contributes to DNA damage in concert with NME1. NME1 nicks one strand of DNA and TREX1 removes bases from the free 3' end to enhance DNA damage and prevent DNA end reannealing and rapid repair. {ECO:0000269|PubMed:10391904, ECO:0000269|PubMed:10393201, ECO:0000269|PubMed:16818237, ECO:0000269|PubMed:17293595, ECO:0000269|PubMed:18045533, ECO:0000269|PubMed:23993650}.; ;FUNCTION: Required for checkpoint signaling after DNA damage. Required for ATR expression, possibly by stabilizing the protein. {ECO:0000269|PubMed:12791985}.; </t>
  </si>
  <si>
    <t xml:space="preserve">DISEASE: Aicardi-Goutieres syndrome 1 (AGS1) [MIM:225750]: A form of Aicardi-Goutieres syndrome, a genetically heterogeneous disease characterized by cerebral atrophy, leukoencephalopathy, intracranial calcifications, chronic cerebrospinal fluid (CSF) lymphocytosis, increased CSF alpha-interferon, and negative serologic investigations for common prenatal infection. Clinical features as thrombocytopenia, hepatosplenomegaly and elevated hepatic transaminases along with intermittent fever may erroneously suggest an infective process. Severe neurological dysfunctions manifest in infancy as progressive microcephaly, spasticity, dystonic posturing and profound psychomotor retardation. Death often occurs in early childhood. {ECO:0000269|PubMed:16845398, ECO:0000269|PubMed:17357087, ECO:0000269|PubMed:17846997, ECO:0000269|PubMed:20131292, ECO:0000269|PubMed:20799324}. Note=The disease is caused by mutations affecting the gene represented in this entry.; DISEASE: Systemic lupus erythematosus (SLE) [MIM:152700]: A chronic, relapsing, inflammatory, and often febrile multisystemic disorder of connective tissue, characterized principally by involvement of the skin, joints, kidneys and serosal membranes. It is of unknown etiology, but is thought to represent a failure of the regulatory mechanisms of the autoimmune system. The disease is marked by a wide range of system dysfunctions, an elevated erythrocyte sedimentation rate, and the formation of LE cells in the blood or bone marrow. {ECO:0000269|PubMed:17660818, ECO:0000269|PubMed:20131292}. Note=Disease susceptibility is associated with variations affecting the gene represented in this entry. Enhanced immune sensing of oxidized DNA may be involved in the phototoxicity experienced by SLE patients. Exposure to UV- light produces DNA oxidative damage. Oxidized DNA being a poor TREX1 substrate, it accumulates in skin, leading to enhanced auto- immune reactivity and eventually skin lesions (PubMed:23993650). {ECO:0000269|PubMed:23993650}.; DISEASE: Chilblain lupus 1 (CHBL1) [MIM:610448]: A rare cutaneous form of lupus erythematosus. Affected individuals present with painful bluish-red papular or nodular lesions of the skin in acral locations precipitated by cold and wet exposure at temperatures less than 10 degrees centigrade. {ECO:0000269|PubMed:17357087, ECO:0000269|PubMed:17440703}. Note=The disease is caused by mutations affecting the gene represented in this entry.; DISEASE: Vasculopathy, retinal, with cerebral leukodystrophy (RVCL) [MIM:192315]: A microvascular endotheliopathy resulting in central nervous system degeneration and retinopathy, with progressive loss of vision, stroke, motor impairment, and cognitive decline. The ocular manifestations are characterized by telangiectasias, microaneurysms and retinal capillary obliteration starting in the macula. Diseased cerebral white matter has prominent small infarcts that often coalesce to pseudotumors. {ECO:0000269|PubMed:17660820}. Note=The disease is caused by mutations affecting the gene represented in this entry.; </t>
  </si>
  <si>
    <t xml:space="preserve">1169.64</t>
  </si>
  <si>
    <t xml:space="preserve">95</t>
  </si>
  <si>
    <t xml:space="preserve">54,41</t>
  </si>
  <si>
    <t xml:space="preserve">FRAS1:NM_001166133:exon18:c.G2137A:p.A713T,FRAS1:NM_025074:exon18:c.G2137A:p.A713T;FRAS1:uc003hla.1:exon5:c.G670A:p.G224R,FRAS1:uc003hkz.3:exon13:c.G1249A:p.A417T,FRAS1:uc003hky.1:exon15:c.G1249A:p.G417R,FRAS1:uc003hkw.3:exon18:c.G2137A:p.A713T,FRAS1:uc003hlb.2:exon18:c.G2137A:p.A713T;ENSG00000138759:ENST00000264895:exon18:c.G2137A:p.A713T,ENSG00000138759:ENST00000264899:exon18:c.G2137A:p.G713R,ENSG00000138759:ENST00000325942:exon18:c.G2137A:p.A713T</t>
  </si>
  <si>
    <t xml:space="preserve">2.28997696302965e-23</t>
  </si>
  <si>
    <t xml:space="preserve">Fraser extracellular matrix complex subunit 1</t>
  </si>
  <si>
    <t xml:space="preserve">DISEASE: Fraser syndrome (FRASS) [MIM:219000]: Multisystem malformation usually comprising cryptophthalmos, cutaneous syndactyly, ear abnormalities, renal agenesis and congenital heart defects. {ECO:0000269|PubMed:23473829}. Note=The disease is caused by mutations affecting the gene represented in this entry.; </t>
  </si>
  <si>
    <t xml:space="preserve">146.64</t>
  </si>
  <si>
    <t xml:space="preserve">28,9</t>
  </si>
  <si>
    <t xml:space="preserve">SLC9B1:NM_001100874:exon11:c.A1318T:p.K440X,SLC9B1:NM_139173:exon11:c.A1318T:p.K440X;SLC9B1:uc011cev.2:exon8:c.A637T:p.K213X,SLC9B1:uc010ilm.3:exon10:c.A619T:p.K207X,SLC9B1:uc003hwu.3:exon11:c.A1318T:p.K440X,SLC9B1:uc003hww.3:exon11:c.A1318T:p.K440X;ENSG00000164037:ENST00000296422:exon11:c.A1318T:p.K440X,ENSG00000164037:ENST00000394789:exon11:c.A1318T:p.K440X</t>
  </si>
  <si>
    <t xml:space="preserve">8.48795187528449e-05</t>
  </si>
  <si>
    <t xml:space="preserve">solute carrier family 9 member B1</t>
  </si>
  <si>
    <t xml:space="preserve">NGS_LowStringency</t>
  </si>
  <si>
    <t xml:space="preserve">2774.64</t>
  </si>
  <si>
    <t xml:space="preserve">179</t>
  </si>
  <si>
    <t xml:space="preserve">75,104</t>
  </si>
  <si>
    <t xml:space="preserve">FAT4:NM_001291285:exon8:c.G7206C:p.R2402S,FAT4:NM_001291303:exon8:c.G7206C:p.R2402S,FAT4:NM_024582:exon8:c.G7200C:p.R2400S;FAT4:uc003ifj.4:exon8:c.G7200C:p.R2400S,FAT4:uc011cgp.2:exon8:c.G2094C:p.R698S;ENSG00000196159:ENST00000335110:exon8:c.G2094C:p.R698S,ENSG00000196159:ENST00000394329:exon8:c.G7200C:p.R2400S</t>
  </si>
  <si>
    <t xml:space="preserve">3/12</t>
  </si>
  <si>
    <t xml:space="preserve">0.999999998364028</t>
  </si>
  <si>
    <t xml:space="preserve">FAT atypical cadherin 4</t>
  </si>
  <si>
    <t xml:space="preserve">FUNCTION: Cadherins are calcium-dependent cell adhesion proteins. FAT4 plays a role in the maintenance of planar cell polarity as well as in inhibition of YAP1-mediated neuroprogenitor cell proliferation and differentiation (By similarity). {ECO:0000250}.; </t>
  </si>
  <si>
    <t xml:space="preserve">DISEASE: Van Maldergem syndrome 2 (VMLDS2) [MIM:615546]: An autosomal recessive disorder characterized by intellectual disability, typical craniofacial features, auditory malformations resulting in hearing loss, and skeletal and limb malformations. Some patients have renal hypoplasia. Brain MRI typically shows periventricular nodular heterotopia. {ECO:0000269|PubMed:24056717}. Note=The disease is caused by mutations affecting the gene represented in this entry.; DISEASE: Hennekam lymphangiectasia-lymphedema syndrome 2 (HKLLS2) [MIM:616006]: A form of Hennekam lymphangiectasia-lymphedema syndrome, a generalized lymph-vessels dysplasia characterized by intestinal lymphangiectasia with severe lymphedema of the limbs, genitalia and face. In addition, affected individuals have unusual facies and severe mental retardation. HKLLS2 individuals have lymphangiectasia variably affecting the gut, pericardium, lungs, kidneys, and genitalia. Other features include camptodactyly and rare syndactyly. {ECO:0000269|PubMed:24913602}. Note=The disease is caused by mutations affecting the gene represented in this entry.; </t>
  </si>
  <si>
    <t xml:space="preserve">1179.64</t>
  </si>
  <si>
    <t xml:space="preserve">65,45</t>
  </si>
  <si>
    <t xml:space="preserve">SORBS2:NM_001145674:exon10:c.G2353C:p.E785Q,SORBS2:NM_001145675:exon10:c.G817C:p.E273Q,SORBS2:NM_001145670:exon16:c.G1273C:p.E425Q,SORBS2:NM_001145672:exon16:c.G1324C:p.E442Q,SORBS2:NM_021069:exon16:c.G2641C:p.E881Q,SORBS2:NM_001145671:exon18:c.G1534C:p.E512Q,SORBS2:NM_001145673:exon18:c.G1813C:p.E605Q,SORBS2:NM_003603:exon18:c.G1339C:p.E447Q,SORBS2:NM_001270771:exon19:c.G2941C:p.E981Q;SORBS2:uc011cku.2:exon10:c.G817C:p.E273Q,SORBS2:uc011ckv.2:exon10:c.G2353C:p.E785Q,SORBS2:uc003iyo.1:exon11:c.G988C:p.E330Q,SORBS2:uc003iyc.3:exon12:c.G1000C:p.E334Q,SORBS2:uc003iyb.3:exon13:c.G1060C:p.E354Q,SORBS2:uc003iyf.3:exon14:c.G1249C:p.E417Q,SORBS2:uc003iya.3:exon15:c.G1201C:p.E401Q,SORBS2:uc003iyd.3:exon16:c.G1738C:p.E580Q,SORBS2:uc003iye.3:exon16:c.G1360C:p.E454Q,SORBS2:uc003iyg.3:exon16:c.G2983C:p.E995Q,SORBS2:uc003iyk.3:exon16:c.G1273C:p.E425Q,SORBS2:uc003iyl.3:exon16:c.G2641C:p.E881Q,SORBS2:uc011ckw.2:exon16:c.G1324C:p.E442Q,SORBS2:uc003iyn.1:exon17:c.G1414C:p.E472Q,SORBS2:uc003iyh.3:exon18:c.G1813C:p.E605Q,SORBS2:uc003iyi.4:exon18:c.G1534C:p.E512Q,SORBS2:uc011ckx.2:exon18:c.G1339C:p.E447Q,SORBS2:uc003iym.3:exon19:c.G2941C:p.E981Q;ENSG00000154556:ENST00000451974:exon8:c.G688C:p.E230Q,ENSG00000154556:ENST00000418609:exon10:c.G2353C:p.E785Q,ENSG00000154556:ENST00000284776:exon16:c.G2641C:p.E881Q,ENSG00000154556:ENST00000448662:exon16:c.G1324C:p.E442Q,ENSG00000154556:ENST00000449407:exon16:c.G1273C:p.E425Q,ENSG00000154556:ENST00000319454:exon17:c.G1414C:p.E472Q,ENSG00000154556:ENST00000431808:exon17:c.G2641C:p.E881Q,ENSG00000154556:ENST00000319471:exon18:c.G1534C:p.E512Q,ENSG00000154556:ENST00000393528:exon18:c.G1339C:p.E447Q,ENSG00000154556:ENST00000437304:exon18:c.G1813C:p.E605Q,ENSG00000154556:ENST00000355634:exon19:c.G2941C:p.E981Q</t>
  </si>
  <si>
    <t xml:space="preserve">0.0888062839921232</t>
  </si>
  <si>
    <t xml:space="preserve">sorbin and SH3 domain containing 2</t>
  </si>
  <si>
    <t xml:space="preserve">FUNCTION: Adapter protein that plays a role in the assembling of signaling complexes, being a link between ABL kinases and actin cytoskeleton. Can form complex with ABL1 and CBL, thus promoting ubiquitination and degradation of ABL1 or with AKT1 and PAK1, thus mediating AKT1-mediated activation of PAK1. May play a role in the regulation of pancreatic cell adhesion, possibly by acting on WASF1 phosphorylation, enhancing phosphorylation by ABL1, as well as dephosphorylation by PTPN12 (PubMed:18559503). Isoform 6 increases water and sodium absorption in the intestine and gall- bladder. {ECO:0000269|PubMed:12475393, ECO:0000269|PubMed:18559503, ECO:0000269|PubMed:9211900}.; </t>
  </si>
  <si>
    <t xml:space="preserve">1539.64</t>
  </si>
  <si>
    <t xml:space="preserve">63,59</t>
  </si>
  <si>
    <t xml:space="preserve">GALNT10:NM_198321:exon8:c.G1057T:p.V353L;GALNT10:uc010jid.3:exon5:c.G580T:p.V194L,GALNT10:uc003lvh.3:exon8:c.G1057T:p.V353L;ENSG00000164574:ENST00000377657:exon1:c.G70T:p.V24L,ENSG00000164574:ENST00000377661:exon7:c.G871T:p.V291L,ENSG00000164574:ENST00000297107:exon8:c.G1057T:p.V353L</t>
  </si>
  <si>
    <t xml:space="preserve">6/11</t>
  </si>
  <si>
    <t xml:space="preserve">6/7</t>
  </si>
  <si>
    <t xml:space="preserve">0.000449260379215831</t>
  </si>
  <si>
    <t xml:space="preserve">polypeptide N-acetylgalactosaminyltransferase 10</t>
  </si>
  <si>
    <t xml:space="preserve">FUNCTION: Catalyzes the initial reaction in O-linked oligosaccharide biosynthesis, the transfer of an N-acetyl-D- galactosamine residue to a serine or threonine residue on the protein receptor. Has activity toward Muc5Ac and EA2 peptide substrates.; </t>
  </si>
  <si>
    <t xml:space="preserve">1717.64</t>
  </si>
  <si>
    <t xml:space="preserve">133</t>
  </si>
  <si>
    <t xml:space="preserve">66,67</t>
  </si>
  <si>
    <t xml:space="preserve">NT5DC1:NM_152729:exon8:c.G802A:p.E268K;NT5DC1:uc003pwl.3:exon5:c.G652A:p.E218K,NT5DC1:uc003pwj.3:exon8:c.G802A:p.E268K;ENSG00000178425:ENST00000319550:exon8:c.G802A:p.E268K</t>
  </si>
  <si>
    <t xml:space="preserve">0.326411116423151</t>
  </si>
  <si>
    <t xml:space="preserve">5'-nucleotidase domain containing 1</t>
  </si>
  <si>
    <t xml:space="preserve">3930.64</t>
  </si>
  <si>
    <t xml:space="preserve">242</t>
  </si>
  <si>
    <t xml:space="preserve">137,105</t>
  </si>
  <si>
    <t xml:space="preserve">IGSF3:NM_001007237:exon7:c.G1724A:p.W575X,IGSF3:NM_001542:exon8:c.G1784A:p.W595X;IGSF3:uc001egs.1:exon3:c.G743A:p.W248X,IGSF3:uc001egr.2:exon7:c.G1724A:p.W575X,IGSF3:uc031pnr.1:exon7:c.G1784A:p.W595X;ENSG00000143061:ENST00000318837:exon7:c.G1784A:p.W595X,ENSG00000143061:ENST00000369486:exon7:c.G1724A:p.W575X,ENSG00000143061:ENST00000369483:exon8:c.G1784A:p.W595X</t>
  </si>
  <si>
    <t xml:space="preserve">0.987084919325614</t>
  </si>
  <si>
    <t xml:space="preserve">immunoglobulin superfamily member 3</t>
  </si>
  <si>
    <t xml:space="preserve">1544.64</t>
  </si>
  <si>
    <t xml:space="preserve">172</t>
  </si>
  <si>
    <t xml:space="preserve">126,46</t>
  </si>
  <si>
    <t xml:space="preserve">IGSF3:NM_001007237:exon4:c.C634T:p.Q212X,IGSF3:NM_001542:exon4:c.C634T:p.Q212X;IGSF3:uc031pnr.1:exon3:c.C634T:p.Q212X,IGSF3:uc001egr.2:exon4:c.C634T:p.Q212X;ENSG00000143061:ENST00000318837:exon3:c.C634T:p.Q212X,ENSG00000143061:ENST00000369483:exon4:c.C634T:p.Q212X,ENSG00000143061:ENST00000369486:exon4:c.C634T:p.Q212X</t>
  </si>
  <si>
    <t xml:space="preserve">1776.64</t>
  </si>
  <si>
    <t xml:space="preserve">161</t>
  </si>
  <si>
    <t xml:space="preserve">93,68</t>
  </si>
  <si>
    <t xml:space="preserve">CEP83:NM_001368041:exon4:c.C418T:p.R140X,CEP83:NM_001368042:exon4:c.C106T:p.R36X,CEP83:NM_001042399:exon6:c.C643T:p.R215X,CEP83:NM_001346457:exon6:c.C643T:p.R215X,CEP83:NM_001346459:exon6:c.C331T:p.R111X,CEP83:NM_001346461:exon6:c.C643T:p.R215X,CEP83:NM_001346462:exon6:c.C331T:p.R111X,CEP83:NM_001368038:exon6:c.C643T:p.R215X,CEP83:NM_001368040:exon6:c.C331T:p.R111X,CEP83:NM_001346458:exon7:c.C331T:p.R111X,CEP83:NM_001346460:exon7:c.C643T:p.R215X,CEP83:NM_001368037:exon7:c.C643T:p.R215X,CEP83:NM_001368039:exon7:c.C331T:p.R111X,CEP83:NM_016122:exon7:c.C643T:p.R215X;CCDC41:uc001tde.3:exon6:c.C643T:p.R215X,CCDC41:uc001tdd.3:exon7:c.C643T:p.R215X,CCDC41:uc001tdf.3:exon7:c.C643T:p.R215X;ENSG00000173588:ENST00000339839:exon6:c.C643T:p.R215X,ENSG00000173588:ENST00000397807:exon6:c.C544T:p.R182X,ENSG00000173588:ENST00000397809:exon7:c.C643T:p.R215X,ENSG00000173588:ENST00000547232:exon7:c.C544T:p.R182X,ENSG00000173588:ENST00000547575:exon7:c.C643T:p.R215X</t>
  </si>
  <si>
    <t xml:space="preserve">centrosomal protein 83kDa</t>
  </si>
  <si>
    <t xml:space="preserve">FUNCTION: Component of the distal appendage region of the centriole involved in the initiation of primary cilium assembly. May collaborate with IFT20 in the trafficking of ciliary membrane proteins from the Golgi complex to the cilium during the initiation of primary cilium assembly. {ECO:0000269|PubMed:23348840, ECO:0000269|PubMed:23530209}.; </t>
  </si>
  <si>
    <t xml:space="preserve">DISEASE: Nephronophthisis 18 (NPHP18) [MIM:615862]: An autosomal recessive disorder characterized by chronic tubulointerstitial nephritis resulting in end-stage renal disease in early childhood. Extrarenal manifestations, including intellectual disability or liver changes, may occur in some patients. {ECO:0000269|PubMed:24882706}. Note=The disease is caused by mutations affecting the gene represented in this entry.; </t>
  </si>
  <si>
    <t xml:space="preserve">283.64</t>
  </si>
  <si>
    <t xml:space="preserve">183</t>
  </si>
  <si>
    <t xml:space="preserve">160,23</t>
  </si>
  <si>
    <t xml:space="preserve">nonsynonymous SNV;startloss</t>
  </si>
  <si>
    <t xml:space="preserve">IGSF3:NM_001007237:exon3:c.G225A:p.M75I,IGSF3:NM_001542:exon3:c.G225A:p.M75I;IGSF3:uc031pnr.1:exon2:c.G225A:p.M75I,IGSF3:uc001egr.2:exon3:c.G225A:p.M75I;ENSG00000143061:ENST00000318837:exon2:c.G225A:p.M75I,ENSG00000143061:ENST00000481589:exon2:c.G3A:p.M1I,ENSG00000143061:ENST00000369483:exon3:c.G225A:p.M75I,ENSG00000143061:ENST00000369486:exon3:c.G225A:p.M75I</t>
  </si>
  <si>
    <t xml:space="preserve">1/12</t>
  </si>
  <si>
    <t xml:space="preserve">41.58</t>
  </si>
  <si>
    <t xml:space="preserve">13</t>
  </si>
  <si>
    <t xml:space="preserve">11,2</t>
  </si>
  <si>
    <t xml:space="preserve">2.82187066585139e-15</t>
  </si>
  <si>
    <t xml:space="preserve">sodium channel epithelial 1 delta subunit</t>
  </si>
  <si>
    <t xml:space="preserve">FUNCTION: Sodium permeable non-voltage-sensitive ion channel inhibited by the diuretic amiloride. Mediates the electrodiffusion of the luminal sodium (and water, which follows osmotically) through the apical membrane of epithelial cells. Controls the reabsorption of sodium in kidney, colon, lung and sweat glands. Also plays a role in taste perception. {ECO:0000269|PubMed:16423824, ECO:0000269|PubMed:7499195}.; </t>
  </si>
  <si>
    <t xml:space="preserve">653.64</t>
  </si>
  <si>
    <t xml:space="preserve">119,29</t>
  </si>
  <si>
    <t xml:space="preserve">1;1;1</t>
  </si>
  <si>
    <t xml:space="preserve">0.62100245921917;0.72829443952872;5.23535259576534e-05</t>
  </si>
  <si>
    <t xml:space="preserve">cyclin-dependent kinase 11A;cyclin-dependent kinase 11B;solute carrier family 35 member E2B</t>
  </si>
  <si>
    <t xml:space="preserve">FUNCTION: Appears to play multiple roles in cell cycle progression, cytokinesis and apoptosis. The p110 isoforms have been suggested to be involved in pre-mRNA splicing, potentially by phosphorylating the splicing protein SFRS7. The p58 isoform may act as a negative regulator of normal cell cycle progression. {ECO:0000269|PubMed:12501247, ECO:0000269|PubMed:12624090, ECO:0000269|PubMed:2217177}.; ;FUNCTION: Appears to play multiple roles in cell cycle progression, cytokinesis and apoptosis. The p110 isoforms have been suggested to be involved in pre-mRNA splicing, potentially by phosphorylating the splicing protein SFRS7. The p58 isoform may act as a negative regulator of normal cell cycle progression. {ECO:0000269|PubMed:12501247, ECO:0000269|PubMed:12624090}.; ;FUNCTION: Putative transporter. {ECO:0000250}.; </t>
  </si>
  <si>
    <t xml:space="preserve">1183.64</t>
  </si>
  <si>
    <t xml:space="preserve">81</t>
  </si>
  <si>
    <t xml:space="preserve">37,44</t>
  </si>
  <si>
    <t xml:space="preserve">1.70518647543863e-08</t>
  </si>
  <si>
    <t xml:space="preserve">phospholipase C eta 2</t>
  </si>
  <si>
    <t xml:space="preserve">FUNCTION: The production of the second messenger molecules diacylglycerol (DAG) and inositol 1,4,5-trisphosphate (IP3) is mediated by activated phosphatidylinositol-specific phospholipase C enzymes. This phospholipase activity is very sensitive to calcium. May be important for formation and maintenance of the neuronal network in the postnatal brain (By similarity). {ECO:0000250}.; </t>
  </si>
  <si>
    <t xml:space="preserve">AAAAA</t>
  </si>
  <si>
    <t xml:space="preserve">232.01</t>
  </si>
  <si>
    <t xml:space="preserve">10</t>
  </si>
  <si>
    <t xml:space="preserve">0,5,5</t>
  </si>
  <si>
    <t xml:space="preserve">4.0835436809341e-07</t>
  </si>
  <si>
    <t xml:space="preserve">PINK1 antisense RNA;PTEN induced putative kinase 1</t>
  </si>
  <si>
    <t xml:space="preserve">FUNCTION: Protects against mitochondrial dysfunction during cellular stress by phosphorylating mitochondrial proteins. Involved in the clearance of damaged mitochondria via selective autophagy (mitophagy) by mediating activation and translocation of PARK2. Targets PARK2 to dysfunctional depolarized mitochondria through the phosphorylation of MFN2. Activates PARK2 in 2 steps: (1) by mediating phosphorylation at 'Ser-65' of PARK2 and (2) mediating phosphorylation of ubiquitin, converting PARK2 to its fully-active form (PubMed:24660806, PubMed:24751536, PubMed:24784582, PubMed:25527291). {ECO:0000269|PubMed:14607334, ECO:0000269|PubMed:15087508, ECO:0000269|PubMed:19229105, ECO:0000269|PubMed:19966284, ECO:0000269|PubMed:20404107, ECO:0000269|PubMed:20798600, ECO:0000269|PubMed:23620051, ECO:0000269|PubMed:23754282, ECO:0000269|PubMed:23933751, ECO:0000269|PubMed:24660806, ECO:0000269|PubMed:24751536, ECO:0000269|PubMed:24784582, ECO:0000269|PubMed:24896179, ECO:0000269|PubMed:25527291}.; </t>
  </si>
  <si>
    <t xml:space="preserve">DISEASE: Parkinson disease 6 (PARK6) [MIM:605909]: A neurodegenerative disorder characterized by parkinsonian signs such as rigidity, resting tremor and bradykinesia. A subset of patients manifest additional symptoms including hyperreflexia, autonomic instability, dementia and psychiatric disturbances. Symptoms show diurnal fluctuation and can improve after sleep. {ECO:0000269|PubMed:15087508, ECO:0000269|PubMed:15349860, ECO:0000269|PubMed:15349870, ECO:0000269|PubMed:15505171, ECO:0000269|PubMed:15596610, ECO:0000269|PubMed:15955953, ECO:0000269|PubMed:15970950, ECO:0000269|PubMed:16009891, ECO:0000269|PubMed:16207217, ECO:0000269|PubMed:16257123, ECO:0000269|PubMed:16401616, ECO:0000269|PubMed:16482571, ECO:0000269|PubMed:16632486, ECO:0000269|PubMed:16966503, ECO:0000269|PubMed:17030667, ECO:0000269|PubMed:18286320, ECO:0000269|PubMed:22956510}. Note=The disease is caused by mutations affecting the gene represented in this entry.; </t>
  </si>
  <si>
    <t xml:space="preserve">32.64</t>
  </si>
  <si>
    <t xml:space="preserve">21,4</t>
  </si>
  <si>
    <t xml:space="preserve">9.82224694641128e-08</t>
  </si>
  <si>
    <t xml:space="preserve">chymotrypsin like elastase family member 3A</t>
  </si>
  <si>
    <t xml:space="preserve">FUNCTION: Efficient protease with alanine specificity but only little elastolytic activity.; </t>
  </si>
  <si>
    <t xml:space="preserve">GenotypeConflict</t>
  </si>
  <si>
    <t xml:space="preserve">ACACACACACACACACAC</t>
  </si>
  <si>
    <t xml:space="preserve">666.02</t>
  </si>
  <si>
    <t xml:space="preserve">19</t>
  </si>
  <si>
    <t xml:space="preserve">1,9,9</t>
  </si>
  <si>
    <t xml:space="preserve">2;2</t>
  </si>
  <si>
    <t xml:space="preserve">0.00556558560437493</t>
  </si>
  <si>
    <t xml:space="preserve">adenylate kinase 2</t>
  </si>
  <si>
    <t xml:space="preserve">FUNCTION: Catalyzes the reversible transfer of the terminal phosphate group between ATP and AMP. Plays an important role in cellular energy homeostasis and in adenine nucleotide metabolism. Adenylate kinase activity is critical for regulation of the phosphate utilization and the AMP de novo biosynthesis pathways. Plays a key role in hematopoiesis. {ECO:0000255|HAMAP- Rule:MF_03168, ECO:0000269|PubMed:19043416}.; </t>
  </si>
  <si>
    <t xml:space="preserve">DISEASE: Reticular dysgenesis (RDYS) [MIM:267500]: Most severe form of inborn severe combined immunodeficiencies (SCID) and is characterized by absence of granulocytes and almost complete deficiency of lymphocytes in peripheral blood, hypoplasia of the thymus and secondary lymphoid organs, and lack of innate and adaptive humoral and cellular immune functions, leading to fatal septicemia within days after birth. In bone marrow of individuals with reticular dysgenesis, myeloid differentiation is blocked at the promyelocytic stage, whereas erythro- and megakaryocytic maturation is generally normal. In addition, affected newborns have bilateral sensorineural deafness. Defects may be due to its absence in leukocytes and inner ear, in which its absence can not be compensated by AK1. {ECO:0000269|PubMed:19043416, ECO:0000269|PubMed:19043417}. Note=The disease is caused by mutations affecting the gene represented in this entry.; </t>
  </si>
  <si>
    <t xml:space="preserve">ACAC</t>
  </si>
  <si>
    <t xml:space="preserve">612.64</t>
  </si>
  <si>
    <t xml:space="preserve">41</t>
  </si>
  <si>
    <t xml:space="preserve">18,23</t>
  </si>
  <si>
    <t xml:space="preserve">antizyme inhibitor 2</t>
  </si>
  <si>
    <t xml:space="preserve">FUNCTION: Antizyme inhibitor protein that positively regulates ornithine decarboxylase (ODC) activity and polyamine uptake by counteracting the negative effect of antizymes OAZ1, OAZ2 and OAZ3 on ODC1 activity (PubMed:17900240). Inhibits antizyme-dependent ODC1 degradation by binding to antizymes. Releases ODC1 from its inactive complex with antizymes, leading to formation of the catalytically active ODC1. Participates in the morphological integrity of the trans-Golgi network (TGN) and functions as a regulator of intracellular secretory vesicle trafficking (PubMed:20188728). {ECO:0000269|PubMed:14738999, ECO:0000269|PubMed:17900240, ECO:0000269|PubMed:20188728}.; </t>
  </si>
  <si>
    <t xml:space="preserve">AGTC</t>
  </si>
  <si>
    <t xml:space="preserve">1404.60</t>
  </si>
  <si>
    <t xml:space="preserve">84</t>
  </si>
  <si>
    <t xml:space="preserve">47,37</t>
  </si>
  <si>
    <t xml:space="preserve">A3GALT2:NM_001080438:exon4:c.315_318del:p.T106Sfs*4;A3GALT2:uc031plq.1:exon4:c.315_318del:p.T106Sfs*4;ENSG00000184389:ENST00000330379:exon1:c.150_153del:p.T51Sfs*4,ENSG00000184389:ENST00000442999:exon4:c.315_318del:p.T106Sfs*4</t>
  </si>
  <si>
    <t xml:space="preserve">6.50302639229507e-07</t>
  </si>
  <si>
    <t xml:space="preserve">alpha 1,3-galactosyltransferase 2</t>
  </si>
  <si>
    <t xml:space="preserve">415.64</t>
  </si>
  <si>
    <t xml:space="preserve">27</t>
  </si>
  <si>
    <t xml:space="preserve">10,17</t>
  </si>
  <si>
    <t xml:space="preserve">0.600078052257623;0.739328409179167</t>
  </si>
  <si>
    <t xml:space="preserve">MYC binding protein;Ras related GTP binding C</t>
  </si>
  <si>
    <t xml:space="preserve">FUNCTION: Guanine nucleotide-binding protein forming heterodimeric Rag complexes required for the amino acid-induced relocalization of mTORC1 to the lysosomes and its subsequent activation by the GTPase RHEB. This is a crucial step in the activation of the TOR signaling cascade by amino acids. {ECO:0000269|PubMed:20381137}.; ;FUNCTION: May control the transcriptional activity of MYC. Stimulates the activation of E box-dependent transcription by MYC.; </t>
  </si>
  <si>
    <t xml:space="preserve">43.64</t>
  </si>
  <si>
    <t xml:space="preserve">5,2</t>
  </si>
  <si>
    <t xml:space="preserve">splicing</t>
  </si>
  <si>
    <t xml:space="preserve">NM_013339:exon14:c.1326+1G&gt;A;uc021oof.1:exon14:c.1326+1G&gt;A;uc010oox.2:exon5:c.567+1G&gt;A;ENST00000371108:exon14:c.1326+1G&gt;A;ENST00000263440:exon13:c.1332+1G&gt;A;ENST00000603108:exon12:c.1250+1G&gt;A;ENST00000603108:exon12:UTR3</t>
  </si>
  <si>
    <t xml:space="preserve">0.0553676261725129</t>
  </si>
  <si>
    <t xml:space="preserve">ALG6, alpha-1,3-glucosyltransferase</t>
  </si>
  <si>
    <t xml:space="preserve">FUNCTION: Adds the first glucose residue to the lipid-linked oligosaccharide precursor for N-linked glycosylation. Transfers glucose from dolichyl phosphate glucose (Dol-P-Glc) onto the lipid-linked oligosaccharide Man(9)GlcNAc(2)-PP-Dol.; </t>
  </si>
  <si>
    <t xml:space="preserve">DISEASE: Congenital disorder of glycosylation 1C (CDG1C) [MIM:603147]: A multisystem disorder caused by a defect in glycoprotein biosynthesis and characterized by under-glycosylated serum glycoproteins. Congenital disorders of glycosylation result in a wide variety of clinical features, such as defects in the nervous system development, psychomotor retardation, dysmorphic features, hypotonia, coagulation disorders, and immunodeficiency. The broad spectrum of features reflects the critical role of N- glycoproteins during embryonic development, differentiation, and maintenance of cell functions. {ECO:0000269|PubMed:10359825, ECO:0000269|PubMed:10914684, ECO:0000269|PubMed:10924277, ECO:0000269|PubMed:11106564, ECO:0000269|PubMed:11134235, ECO:0000269|PubMed:12357336, ECO:0000269|PubMed:14517965}. Note=The disease is caused by mutations affecting the gene represented in this entry.; </t>
  </si>
  <si>
    <t xml:space="preserve">188.64</t>
  </si>
  <si>
    <t xml:space="preserve">4,6</t>
  </si>
  <si>
    <t xml:space="preserve">1.14334039127866e-14</t>
  </si>
  <si>
    <t xml:space="preserve">crystallin zeta</t>
  </si>
  <si>
    <t xml:space="preserve">FUNCTION: Does not have alcohol dehydrogenase activity. Binds NADP and acts through a one-electron transfer process. Orthoquinones, such as 1,2-naphthoquinone or 9,10-phenanthrenequinone, are the best substrates (in vitro). May act in the detoxification of xenobiotics. Interacts with (AU)-rich elements (ARE) in the 3'-UTR of target mRNA species. Enhances the stability of mRNA coding for BCL2. NADPH binding interferes with mRNA binding. {ECO:0000269|PubMed:17497241, ECO:0000269|PubMed:20103721}.; </t>
  </si>
  <si>
    <t xml:space="preserve">471.64</t>
  </si>
  <si>
    <t xml:space="preserve">26</t>
  </si>
  <si>
    <t xml:space="preserve">10,16</t>
  </si>
  <si>
    <t xml:space="preserve">1.26762782980402e-28</t>
  </si>
  <si>
    <t xml:space="preserve">ATP binding cassette subfamily A member 4</t>
  </si>
  <si>
    <t xml:space="preserve">FUNCTION: In the visual cycle, acts as an inward-directed retinoid flipase, retinoid substrates imported by ABCA4 from the extracellular or intradiscal (rod) membrane surfaces to the cytoplasmic membrane surface are all-trans-retinaldehyde (ATR) and N-retinyl-phosphatidyl-ethanolamine (NR-PE). Once transported to the cytoplasmic surface, ATR is reduced to vitamin A by trans- retinol dehydrogenase (tRDH) and then transferred to the retinal pigment epithelium (RPE) where it is converted to 11-cis-retinal. May play a role in photoresponse, removing ATR/NR-PE from the extracellular photoreceptor surfaces during bleach recovery. {ECO:0000269|PubMed:10075733}.; </t>
  </si>
  <si>
    <t xml:space="preserve">DISEASE: Fundus flavimaculatus (FFM) [MIM:248200]: Autosomal recessive retinal disorder very similar to Stargardt disease. In contrast to Stargardt disease, FFM is characterized by later onset and slowly progressive course. {ECO:0000269|PubMed:11379881, ECO:0000269|PubMed:11385708, ECO:0000269|PubMed:9781034}. Note=The disease is caused by mutations affecting the gene represented in this entry.; DISEASE: Macular degeneration, age-related, 2 (ARMD2) [MIM:153800]: A form of age-related macular degeneration, a multifactorial eye disease and the most common cause of irreversible vision loss in the developed world. In most patients, the disease is manifest as ophthalmoscopically visible yellowish accumulations of protein and lipid that lie beneath the retinal pigment epithelium and within an elastin-containing structure known as Bruch membrane. {ECO:0000269|PubMed:19028736, ECO:0000269|PubMed:9295268}. Note=Disease susceptibility is associated with variations affecting the gene represented in this entry.; DISEASE: Cone-rod dystrophy 3 (CORD3) [MIM:604116]: An inherited retinal dystrophy characterized by retinal pigment deposits visible on fundus examination, predominantly in the macular region, and initial loss of cone photoreceptors followed by rod degeneration. This leads to decreased visual acuity and sensitivity in the central visual field, followed by loss of peripheral vision. Severe loss of vision occurs earlier than in retinitis pigmentosa. {ECO:0000269|PubMed:10958761, ECO:0000269|PubMed:11385708, ECO:0000269|PubMed:11527935}. Note=The disease is caused by mutations affecting the gene represented in this entry.; DISEASE: Retinitis pigmentosa 19 (RP19) [MIM:601718]: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RP19 is characterized by choroidal atrophy. Note=The disease is caused by mutations affecting the gene represented in this entry.; </t>
  </si>
  <si>
    <t xml:space="preserve">341.64</t>
  </si>
  <si>
    <t xml:space="preserve">18</t>
  </si>
  <si>
    <t xml:space="preserve">7,11</t>
  </si>
  <si>
    <t xml:space="preserve">6.54220595861069e-07</t>
  </si>
  <si>
    <t xml:space="preserve">chitinase 3 like 2</t>
  </si>
  <si>
    <t xml:space="preserve">FUNCTION: Lectin that binds chitooligosaccharides and other glycans with high affinity, but not heparin. Has no chitinase activity. {ECO:0000269|PubMed:22742450}.; </t>
  </si>
  <si>
    <t xml:space="preserve">446.64</t>
  </si>
  <si>
    <t xml:space="preserve">13,14</t>
  </si>
  <si>
    <t xml:space="preserve">1;2</t>
  </si>
  <si>
    <t xml:space="preserve">AP4B1 antisense RNA 1;protein tyrosine phosphatase, non-receptor type 22</t>
  </si>
  <si>
    <t xml:space="preserve">1140.64</t>
  </si>
  <si>
    <t xml:space="preserve">82</t>
  </si>
  <si>
    <t xml:space="preserve">51,31</t>
  </si>
  <si>
    <t xml:space="preserve">498.64</t>
  </si>
  <si>
    <t xml:space="preserve">39</t>
  </si>
  <si>
    <t xml:space="preserve">22,17</t>
  </si>
  <si>
    <t xml:space="preserve">0.178651547006617</t>
  </si>
  <si>
    <t xml:space="preserve">chromosome 1 open reading frame 54</t>
  </si>
  <si>
    <t xml:space="preserve">1113.64</t>
  </si>
  <si>
    <t xml:space="preserve">53,39</t>
  </si>
  <si>
    <t xml:space="preserve">1.07719204651477e-11</t>
  </si>
  <si>
    <t xml:space="preserve">ADAM metallopeptidase domain 15</t>
  </si>
  <si>
    <t xml:space="preserve">FUNCTION: Active metalloproteinase with gelatinolytic and collagenolytic activity. Plays a role in the wound healing process. Mediates both heterotypic intraepithelial cell/T-cell interactions and homotypic T-cell aggregation. Inhibits beta-1 integrin-mediated cell adhesion and migration of airway smooth muscle cells. Suppresses cell motility on or towards fibronectin possibly by driving alpha-v/beta-1 integrin (ITAGV-ITGB1) cell surface expression via ERK1/2 inactivation. Cleaves E-cadherin in response to growth factor deprivation. Plays a role in glomerular cell migration. Plays a role in pathological neovascularization. May play a role in cartilage remodeling. May be proteolytically processed, during sperm epididymal maturation and the acrosome reaction. May play a role in sperm-egg binding through its disintegrin domain. {ECO:0000269|PubMed:12091380, ECO:0000269|PubMed:15358598, ECO:0000269|PubMed:15818704, ECO:0000269|PubMed:17416588, ECO:0000269|PubMed:17575078, ECO:0000269|PubMed:18387333, ECO:0000269|PubMed:18434311}.; </t>
  </si>
  <si>
    <t xml:space="preserve">131.64</t>
  </si>
  <si>
    <t xml:space="preserve">6</t>
  </si>
  <si>
    <t xml:space="preserve">2,4</t>
  </si>
  <si>
    <t xml:space="preserve">0.0025580283628798</t>
  </si>
  <si>
    <t xml:space="preserve">Fc fragment of IgE receptor Ia</t>
  </si>
  <si>
    <t xml:space="preserve">FUNCTION: Binds to the Fc region of immunoglobulins epsilon. High affinity receptor. Responsible for initiating the allergic response. Binding of allergen to receptor-bound IgE leads to cell activation and the release of mediators (such as histamine) responsible for the manifestations of allergy. The same receptor also induces the secretion of important lymphokines.; </t>
  </si>
  <si>
    <t xml:space="preserve">494.64</t>
  </si>
  <si>
    <t xml:space="preserve">34</t>
  </si>
  <si>
    <t xml:space="preserve">14,20</t>
  </si>
  <si>
    <t xml:space="preserve">0.996908923107335</t>
  </si>
  <si>
    <t xml:space="preserve">DDB1 and CUL4 associated factor 6</t>
  </si>
  <si>
    <t xml:space="preserve">FUNCTION: Ligand-dependent coactivator of nuclear receptors. Enhance transcriptional activity of the nuclear receptors NR3C1 and AR. May function as a substrate receptor for CUL4-DDB1 E3 ubiquitin-protein ligase complex. {ECO:0000269|PubMed:15784617, ECO:0000269|PubMed:16949367, ECO:0000269|PubMed:16964240}.; </t>
  </si>
  <si>
    <t xml:space="preserve">242.64</t>
  </si>
  <si>
    <t xml:space="preserve">22</t>
  </si>
  <si>
    <t xml:space="preserve">13,9</t>
  </si>
  <si>
    <t xml:space="preserve">5.98150986824657e-08</t>
  </si>
  <si>
    <t xml:space="preserve">chromosome 1 open reading frame 112</t>
  </si>
  <si>
    <t xml:space="preserve">272.64</t>
  </si>
  <si>
    <t xml:space="preserve">23</t>
  </si>
  <si>
    <t xml:space="preserve">14,9</t>
  </si>
  <si>
    <t xml:space="preserve">regulator of G-protein signaling like 1</t>
  </si>
  <si>
    <t xml:space="preserve">180.64</t>
  </si>
  <si>
    <t xml:space="preserve">131,21</t>
  </si>
  <si>
    <t xml:space="preserve">intergenic;intronic;ncRNA_intronic</t>
  </si>
  <si>
    <t xml:space="preserve">dist=224939;dist=1384</t>
  </si>
  <si>
    <t xml:space="preserve">family with sequence similarity 72 member A</t>
  </si>
  <si>
    <t xml:space="preserve">FUNCTION: May play a role in the regulation of cellular reactive oxygen species metabolism. May participate in cell growth regulation. {ECO:0000269|PubMed:21317926}.; </t>
  </si>
  <si>
    <t xml:space="preserve">533.02</t>
  </si>
  <si>
    <t xml:space="preserve">46</t>
  </si>
  <si>
    <t xml:space="preserve">11,17,18</t>
  </si>
  <si>
    <t xml:space="preserve">ANGEL2:uc001hkb.3:exon3:c.675_676insTT:p.L226Ffs*39</t>
  </si>
  <si>
    <t xml:space="preserve">0.121064258682459</t>
  </si>
  <si>
    <t xml:space="preserve">angel homolog 2 (Drosophila)</t>
  </si>
  <si>
    <t xml:space="preserve">409.64</t>
  </si>
  <si>
    <t xml:space="preserve">35</t>
  </si>
  <si>
    <t xml:space="preserve">17,18</t>
  </si>
  <si>
    <t xml:space="preserve">2;1</t>
  </si>
  <si>
    <t xml:space="preserve">0.921869997532192</t>
  </si>
  <si>
    <t xml:space="preserve">RNA, U5F small nuclear 1;solute carrier family 30 member 10</t>
  </si>
  <si>
    <t xml:space="preserve">FUNCTION: Plays a pivotal role in manganese transport. Manganese is an essential cation for the function of several enzymes, including some crucially important for the metabolism of neurotransmitters and other neuronal metabolic pathways. {ECO:0000269|PubMed:22341971, ECO:0000269|PubMed:22341972}.; </t>
  </si>
  <si>
    <t xml:space="preserve">DISEASE: Hypermanganesemia with dystonia, polycythemia, and cirrhosis (HMDPC) [MIM:613280]: A metabolic autosomal recessive disorder characterized by dystonia, parkinsonism, extrapyramidal signs, severe hypermanganesemia, polycythemia, and chronic hepatic disease, including steatosis and cirrhosis. {ECO:0000269|PubMed:22341971, ECO:0000269|PubMed:22341972}. Note=The disease is caused by mutations affecting the gene represented in this entry.; </t>
  </si>
  <si>
    <t xml:space="preserve">151.60</t>
  </si>
  <si>
    <t xml:space="preserve">90,19</t>
  </si>
  <si>
    <t xml:space="preserve">0.472741795319536</t>
  </si>
  <si>
    <t xml:space="preserve">RNA, U5F small nuclear 1;isoleucyl-tRNA synthetase 2, mitochondrial</t>
  </si>
  <si>
    <t xml:space="preserve">DISEASE: Cataracts, growth hormone deficiency, sensory neuropathy, sensorineural hearing loss, and skeletal dysplasia (CAGSSS) [MIM:616007]: An autosomal recessive disorder characterized by cataracts, short-stature secondary to growth hormone deficiency, sensorineural hearing deficit, peripheral sensory neuropathy, skeletal dysplasia, scoliosis, and facial dysmorphism. {ECO:0000269|PubMed:25130867}. Note=The disease is caused by mutations affecting the gene represented in this entry.; </t>
  </si>
  <si>
    <t xml:space="preserve">325.64</t>
  </si>
  <si>
    <t xml:space="preserve">28</t>
  </si>
  <si>
    <t xml:space="preserve">17,11</t>
  </si>
  <si>
    <t xml:space="preserve">0.00457175417443286</t>
  </si>
  <si>
    <t xml:space="preserve">sushi domain containing 4</t>
  </si>
  <si>
    <t xml:space="preserve">FUNCTION: Acts as complement inhibitor by disrupting the formation of the classical C3 convertase. Isoform 3 inhibits the classical complement pathway, while membrane-bound isoform 1 inhibits deposition of C3b via both the classical and alternative complement pathways. {ECO:0000269|PubMed:23482636}.; </t>
  </si>
  <si>
    <t xml:space="preserve">2739.06</t>
  </si>
  <si>
    <t xml:space="preserve">85</t>
  </si>
  <si>
    <t xml:space="preserve">0,85</t>
  </si>
  <si>
    <t xml:space="preserve">8.77000190556253e-06</t>
  </si>
  <si>
    <t xml:space="preserve">dynein axonemal heavy chain 14</t>
  </si>
  <si>
    <t xml:space="preserve">FUNCTION: Force generating protein of respiratory cilia. Produces force towards the minus ends of microtubules. Dynein has ATPase activity; the force-producing power stroke is thought to occur on release of ADP. Involved in sperm motility; implicated in sperm flagellar assembly (By similarity). {ECO:0000250}.; </t>
  </si>
  <si>
    <t xml:space="preserve">2555.64</t>
  </si>
  <si>
    <t xml:space="preserve">232</t>
  </si>
  <si>
    <t xml:space="preserve">131,101</t>
  </si>
  <si>
    <t xml:space="preserve">intronic;ncRNA_exonic</t>
  </si>
  <si>
    <t xml:space="preserve">0.994502609230201</t>
  </si>
  <si>
    <t xml:space="preserve">formin 2</t>
  </si>
  <si>
    <t xml:space="preserve">FUNCTION: Required for asymmetric spindle positioning, asymmetric oocyte division and polar body extrusion during female germ cell meiosis (By similarity). Actin-binding protein that is involved in actin cytoskeleton assembly and reorganization. Acts as an actin nucleation factor and promotes assembly of actin filaments together with SPIRE1 and SPIRE2. Involved in intracellular vesicle transport along actin fibers, providing a novel link between actin cytoskeleton dynamics and intracellular transport. Plays a role in responses to DNA damage, cellular stress and hypoxia by protecting CDKN1A against degradation, and thereby plays a role in stress- induced cell cycle arrest. Protects cells against apoptosis by protecting CDKN1A against degradation. {ECO:0000250, ECO:0000269|PubMed:22330775, ECO:0000269|PubMed:23375502}.; </t>
  </si>
  <si>
    <t xml:space="preserve">DISEASE: Mental retardation, autosomal recessive 47 (MRT47) [MIM:616193]: A disorder characterized by significantly below average general intellectual functioning associated with impairments in adaptive behavior and manifested during the developmental period. MRT47 patients show delayed development, with cognition and speech more affected than motor skills. {ECO:0000269|PubMed:25480035}. Note=The disease is caused by mutations affecting the gene represented in this entry.; </t>
  </si>
  <si>
    <t xml:space="preserve">108</t>
  </si>
  <si>
    <t xml:space="preserve">55,53</t>
  </si>
  <si>
    <t xml:space="preserve">TT</t>
  </si>
  <si>
    <t xml:space="preserve">6177.60</t>
  </si>
  <si>
    <t xml:space="preserve">316</t>
  </si>
  <si>
    <t xml:space="preserve">154,162</t>
  </si>
  <si>
    <t xml:space="preserve">OR2T11:NM_001001964:exon1:c.260_261insAA:p.I88Rfs*16;OR2T11:uc001ier.1:exon1:c.260_261insAA:p.I88Rfs*16;ENSG00000183130:ENST00000330803:exon1:c.260_261insAA:p.I88Rfs*16</t>
  </si>
  <si>
    <t xml:space="preserve">2.01105703156492e-05</t>
  </si>
  <si>
    <t xml:space="preserve">olfactory receptor family 2 subfamily T member 11 (gene/pseudogene)</t>
  </si>
  <si>
    <t xml:space="preserve">FUNCTION: Odorant receptor. {ECO:0000305}.; </t>
  </si>
  <si>
    <t xml:space="preserve">150.64</t>
  </si>
  <si>
    <t xml:space="preserve">6,5</t>
  </si>
  <si>
    <t xml:space="preserve">0.999865566823629</t>
  </si>
  <si>
    <t xml:space="preserve">GTP binding protein 4</t>
  </si>
  <si>
    <t xml:space="preserve">FUNCTION: Involved in the biogenesis of the 60S ribosomal subunit. {ECO:0000250}.; </t>
  </si>
  <si>
    <t xml:space="preserve">74.60</t>
  </si>
  <si>
    <t xml:space="preserve">12</t>
  </si>
  <si>
    <t xml:space="preserve">7,5</t>
  </si>
  <si>
    <t xml:space="preserve">0.00182033784193924</t>
  </si>
  <si>
    <t xml:space="preserve">calcium voltage-gated channel auxiliary subunit beta 2</t>
  </si>
  <si>
    <t xml:space="preserve">FUNCTION: The beta subunit of voltage-dependent calcium channels contributes to the function of the calcium channel by increasing peak calcium current, shifting the voltage dependencies of activation and inactivation, modulating G protein inhibition and controlling the alpha-1 subunit membrane targeting.; </t>
  </si>
  <si>
    <t xml:space="preserve">DISEASE: Brugada syndrome 4 (BRGDA4) [MIM:611876]: A heart disease characterized by the association of Brugada syndrome with shortened QT intervals. Brugada syndrome is a tachyarrhythmia characterized by right bundle branch block and ST segment elevation on an electrocardiogram (ECG). It can cause the ventricles to beat so fast that the blood is prevented from circulating efficiently in the body. When this situation occurs, the individual will faint and may die in a few minutes if the heart is not reset. {ECO:0000269|PubMed:17224476}. Note=The disease is caused by mutations affecting the gene represented in this entry.; </t>
  </si>
  <si>
    <t xml:space="preserve">TTTTTTGG</t>
  </si>
  <si>
    <t xml:space="preserve">278.60</t>
  </si>
  <si>
    <t xml:space="preserve">16</t>
  </si>
  <si>
    <t xml:space="preserve">8,8</t>
  </si>
  <si>
    <t xml:space="preserve">857.64</t>
  </si>
  <si>
    <t xml:space="preserve">314</t>
  </si>
  <si>
    <t xml:space="preserve">273,41</t>
  </si>
  <si>
    <t xml:space="preserve">0.983612745475666</t>
  </si>
  <si>
    <t xml:space="preserve">zinc finger E-box binding homeobox 1</t>
  </si>
  <si>
    <t xml:space="preserve">FUNCTION: Acts as a transcriptional repressor. Inhibits interleukin-2 (IL-2) gene expression. Enhances or represses the promoter activity of the ATP1A1 gene depending on the quantity of cDNA and on the cell type. Represses E-cadherin promoter and induces an epithelial-mesenchymal transition (EMT) by recruiting SMARCA4/BRG1. Represses BCL6 transcription in the presence of the corepressor CTBP1. Positively regulates neuronal differentiation. Represses RCOR1 transcription activation during neurogenesis. Represses transcription by binding to the E box (5'-CANNTG-3'). Promotes tumorigenicity by repressing stemness-inhibiting microRNAs. {ECO:0000269|PubMed:19935649, ECO:0000269|PubMed:20175752, ECO:0000269|PubMed:20418909}.; </t>
  </si>
  <si>
    <t xml:space="preserve">DISEASE: Corneal dystrophy, Fuchs endothelial, 6 (FECD6) [MIM:613270]: A corneal disease caused by loss of endothelium of the central cornea. It is characterized by focal wart-like guttata that arise from Descemet membrane and develop in the central cornea, epithelial blisters, reduced vision and pain. Descemet membrane is thickened by abnormal collagenous deposition. {ECO:0000269|PubMed:20036349, ECO:0000269|PubMed:23599324}. Note=The disease is caused by mutations affecting the gene represented in this entry.; </t>
  </si>
  <si>
    <t xml:space="preserve">854.64</t>
  </si>
  <si>
    <t xml:space="preserve">315</t>
  </si>
  <si>
    <t xml:space="preserve">274,41</t>
  </si>
  <si>
    <t xml:space="preserve">1271.64</t>
  </si>
  <si>
    <t xml:space="preserve">65,54</t>
  </si>
  <si>
    <t xml:space="preserve">exonic;intronic;ncRNA_exonic</t>
  </si>
  <si>
    <t xml:space="preserve">LOC100505502:NM_001368169:exon2:c.A637G:p.S213G</t>
  </si>
  <si>
    <t xml:space="preserve">1/1</t>
  </si>
  <si>
    <t xml:space="preserve">1;3</t>
  </si>
  <si>
    <t xml:space="preserve">45.60</t>
  </si>
  <si>
    <t xml:space="preserve">55,9</t>
  </si>
  <si>
    <t xml:space="preserve">C10orf142:NM_001258000:exon1:c.59dupC:p.H23Pfs*39;LOC100130539:uc031pus.1:exon1:c.59dupC:p.H23Pfs*39</t>
  </si>
  <si>
    <t xml:space="preserve">chromosome 10 open reading frame 142</t>
  </si>
  <si>
    <t xml:space="preserve">761.64</t>
  </si>
  <si>
    <t xml:space="preserve">51</t>
  </si>
  <si>
    <t xml:space="preserve">28,23</t>
  </si>
  <si>
    <t xml:space="preserve">0.000746121343818483</t>
  </si>
  <si>
    <t xml:space="preserve">unc-5 netrin receptor B</t>
  </si>
  <si>
    <t xml:space="preserve">FUNCTION: Receptor for netrin required for axon guidance. Mediates axon repulsion of neuronal growth cones in the developing nervous system upon ligand binding. Axon repulsion in growth cones may be caused by its association with DCC that may trigger signaling for repulsion (By similarity). Functions as netrin receptor that negatively regulates vascular branching during angiogenesis. Mediates retraction of tip cell filopodia on endothelial growth cones in response to netrin (By similarity). It also acts as a dependence receptor required for apoptosis induction when not associated with netrin ligand (PubMed:12598906). Mediates apoptosis by activating DAPK1. In the absence of NTN1, activates DAPK1 by reducing its autoinhibitory phosphorylation at Ser-308 thereby increasing its catalytic activity (By similarity). {ECO:0000250|UniProtKB:O08722, ECO:0000250|UniProtKB:Q8K1S3, ECO:0000269|PubMed:12598906}.; </t>
  </si>
  <si>
    <t xml:space="preserve">256.64</t>
  </si>
  <si>
    <t xml:space="preserve">15,9</t>
  </si>
  <si>
    <t xml:space="preserve">0.00055026957460409;0.00506563580969443</t>
  </si>
  <si>
    <t xml:space="preserve">chromosome 10 open reading frame 55;plasminogen activator, urokinase</t>
  </si>
  <si>
    <t xml:space="preserve">FUNCTION: Specifically cleaves the zymogen plasminogen to form the active enzyme plasmin.; </t>
  </si>
  <si>
    <t xml:space="preserve">DISEASE: Quebec platelet disorder (QPD) [MIM:601709]: An autosomal dominant bleeding disorder due to a gain-of-function defect in fibrinolysis. Although affected individuals do not exhibit systemic fibrinolysis, they show delayed onset bleeding after challenge, such as surgery. The hallmark of the disorder is markedly increased PLAU levels within platelets, which causes intraplatelet plasmin generation and secondary degradation of alpha-granule proteins. {ECO:0000269|PubMed:20007542}. Note=The disease is caused by mutations affecting the gene represented in this entry.; </t>
  </si>
  <si>
    <t xml:space="preserve">1016.64</t>
  </si>
  <si>
    <t xml:space="preserve">31,35</t>
  </si>
  <si>
    <t xml:space="preserve">2.14384718511001e-08</t>
  </si>
  <si>
    <t xml:space="preserve">sorbin and SH3 domain containing 1</t>
  </si>
  <si>
    <t xml:space="preserve">FUNCTION: Plays a role in tyrosine phosphorylation of CBL by linking CBL to the insulin receptor. Required for insulin- stimulated glucose transport. Involved in formation of actin stress fibers and focal adhesions (By similarity). {ECO:0000250|UniProtKB:Q62417}.; </t>
  </si>
  <si>
    <t xml:space="preserve">1974.64</t>
  </si>
  <si>
    <t xml:space="preserve">137</t>
  </si>
  <si>
    <t xml:space="preserve">65,72</t>
  </si>
  <si>
    <t xml:space="preserve">0.00146883108535103</t>
  </si>
  <si>
    <t xml:space="preserve">inositol polyphosphate-5-phosphatase F</t>
  </si>
  <si>
    <t xml:space="preserve">FUNCTION: Inositol 5-phosphatase which acts on phosphatidylinositol 4,5-bisphosphate and phosphatidylinositol 3,4,5-trisphosphate. Hydrolyzes phosphatidylinositol 4,5- bisphosphate most effectively. Modulates AKT/GSK3B pathway by decreasing AKT and GSK3B phosphorylation. {ECO:0000269|PubMed:11274189, ECO:0000269|PubMed:17322895}.; </t>
  </si>
  <si>
    <t xml:space="preserve">363.60</t>
  </si>
  <si>
    <t xml:space="preserve">111,21</t>
  </si>
  <si>
    <t xml:space="preserve">CTBP2:NM_001363508:exon2:c.373delG:p.V125Wfs*17,CTBP2:NM_022802:exon2:c.1789delG:p.V597Wfs*17,CTBP2:NM_001321013:exon3:c.169delG:p.V57Wfs*17,CTBP2:NM_001083914:exon4:c.169delG:p.V57Wfs*17,CTBP2:NM_001290214:exon4:c.169delG:p.V57Wfs*17,CTBP2:NM_001290215:exon4:c.169delG:p.V57Wfs*17,CTBP2:NM_001321012:exon4:c.169delG:p.V57Wfs*17,CTBP2:NM_001321014:exon4:c.169delG:p.V57Wfs*17,CTBP2:NM_001329:exon4:c.169delG:p.V57Wfs*17;CTBP2:uc001lid.4:exon2:c.373delG:p.V125Wfs*17,CTBP2:uc001lie.4:exon2:c.1789delG:p.V597Wfs*17,CTBP2:uc001lif.4:exon4:c.169delG:p.V57Wfs*17,CTBP2:uc001lih.4:exon4:c.169delG:p.V57Wfs*17,CTBP2:uc009yak.3:exon4:c.169delG:p.V57Wfs*17,CTBP2:uc009yal.3:exon4:c.169delG:p.V57Wfs*17;ENSG00000175029:ENST00000309035:exon2:c.1789delG:p.V597Wfs*17,ENSG00000175029:ENST00000334808:exon2:c.373delG:p.V125Wfs*17,ENSG00000175029:ENST00000337195:exon4:c.169delG:p.V57Wfs*17,ENSG00000175029:ENST00000411419:exon4:c.169delG:p.V57Wfs*17,ENSG00000175029:ENST00000494626:exon4:c.169delG:p.V57Wfs*17,ENSG00000175029:ENST00000531469:exon4:c.169delG:p.V57Wfs*17</t>
  </si>
  <si>
    <t xml:space="preserve">1679.60</t>
  </si>
  <si>
    <t xml:space="preserve">278</t>
  </si>
  <si>
    <t xml:space="preserve">210,68</t>
  </si>
  <si>
    <t xml:space="preserve">CTBP2:NM_001321013:exon2:c.9delT:p.V4Wfs*23,CTBP2:NM_001083914:exon3:c.9delT:p.V4Wfs*23,CTBP2:NM_001290214:exon3:c.9delT:p.V4Wfs*23,CTBP2:NM_001290215:exon3:c.9delT:p.V4Wfs*23,CTBP2:NM_001321012:exon3:c.9delT:p.V4Wfs*23,CTBP2:NM_001321014:exon3:c.9delT:p.V4Wfs*23,CTBP2:NM_001329:exon3:c.9delT:p.V4Wfs*23;CTBP2:uc001lif.4:exon3:c.9delT:p.V4Wfs*23,CTBP2:uc001lih.4:exon3:c.9delT:p.V4Wfs*23,CTBP2:uc009yak.3:exon3:c.9delT:p.V4Wfs*23,CTBP2:uc009yal.3:exon3:c.9delT:p.V4Wfs*23;ENSG00000175029:ENST00000337195:exon3:c.9delT:p.V4Wfs*23,ENSG00000175029:ENST00000411419:exon3:c.9delT:p.V4Wfs*23,ENSG00000175029:ENST00000494626:exon3:c.9delT:p.V4Wfs*23,ENSG00000175029:ENST00000531469:exon3:c.9delT:p.V4Wfs*23,ENSG00000175029:ENST00000530884:exon4:c.9delT:p.L3del</t>
  </si>
  <si>
    <t xml:space="preserve">TG</t>
  </si>
  <si>
    <t xml:space="preserve">82.60</t>
  </si>
  <si>
    <t xml:space="preserve">253,25</t>
  </si>
  <si>
    <t xml:space="preserve">MKI67:NM_001145966:exon12:c.3911_3912del:p.T1304Rfs*7,MKI67:NM_002417:exon13:c.4991_4992del:p.T1664Rfs*7;MKI67:uc009yaw.1:exon2:c.2441_2442del:p.T814Rfs*7,MKI67:uc009yav.1:exon9:c.3716_3717del:p.T1239Rfs*7,MKI67:uc001lkf.3:exon12:c.3911_3912del:p.T1304Rfs*7,MKI67:uc001lke.3:exon13:c.4991_4992del:p.T1664Rfs*7;ENSG00000148773:ENST00000368653:exon12:c.3911_3912del:p.T1304Rfs*7,ENSG00000148773:ENST00000368654:exon13:c.4991_4992del:p.T1664Rfs*7</t>
  </si>
  <si>
    <t xml:space="preserve">4.17035383841505e-16</t>
  </si>
  <si>
    <t xml:space="preserve">marker of proliferation Ki-67</t>
  </si>
  <si>
    <t xml:space="preserve">FUNCTION: Thought to be required for maintaining cell proliferation.; </t>
  </si>
  <si>
    <t xml:space="preserve">827.64</t>
  </si>
  <si>
    <t xml:space="preserve">74</t>
  </si>
  <si>
    <t xml:space="preserve">44,30</t>
  </si>
  <si>
    <t xml:space="preserve">0.0011411925640916</t>
  </si>
  <si>
    <t xml:space="preserve">patatin like phospholipase domain containing 2</t>
  </si>
  <si>
    <t xml:space="preserve">FUNCTION: Catalyzes the initial step in triglyceride hydrolysis in adipocyte and non-adipocyte lipid droplets (PubMed:15550674). Also has acylglycerol transacylase activity. May act coordinately with LIPE/HLS within the lipolytic cascade. Regulates adiposome size and may be involved in the degradation of adiposomes (PubMed:16239926). May play an important role in energy homeostasis. May play a role in the response of the organism to starvation, enhancing hydrolysis of triglycerides and providing free fatty acids to other tissues to be oxidized in situations of energy depletion. {ECO:0000269|PubMed:15364929, ECO:0000269|PubMed:15550674, ECO:0000269|PubMed:16239926}.; </t>
  </si>
  <si>
    <t xml:space="preserve">DISEASE: Note=Genetic variations in PNPLA2 may be associated with risk of diabetes mellitus type 2. {ECO:0000269|PubMed:16644682}.; DISEASE: Neutral lipid storage disease with myopathy (NLSDM) [MIM:610717]: Neutral lipid storage disorder (NLSD) with myopathy but without ichthyosis. NLSDs are characterized by the presence of triglyceride-containing cytoplasmic droplets in leukocytes and in other tissues, including bone marrow, skin, and muscle. Individuals with NLSDM did not show obesity, in spite of a defect in triglyceride degradation in fibroblasts and in marked triglyceride storage in liver, muscles, and other visceral cells. {ECO:0000269|PubMed:17187067}. Note=The disease is caused by mutations affecting the gene represented in this entry.; </t>
  </si>
  <si>
    <t xml:space="preserve">407.60</t>
  </si>
  <si>
    <t xml:space="preserve">191</t>
  </si>
  <si>
    <t xml:space="preserve">169,22</t>
  </si>
  <si>
    <t xml:space="preserve">MUC2:NM_002457:exon21:c.2735_2736insA:p.V914Rfs*29;MUC2:uc001lsx.1:exon21:c.2735_2736insA:p.V914Rfs*29;ENSG00000198788:ENST00000359061:exon21:c.2735_2736insA:p.V914Rfs*29,ENSG00000198788:ENST00000441003:exon21:c.2735_2736insA:p.V914Rfs*29</t>
  </si>
  <si>
    <t xml:space="preserve">4.54632231934197e-05</t>
  </si>
  <si>
    <t xml:space="preserve">mucin 2, oligomeric mucus/gel-forming</t>
  </si>
  <si>
    <t xml:space="preserve">FUNCTION: Coats the epithelia of the intestines, airways, and other mucus membrane-containing organs. Thought to provide a protective, lubricating barrier against particles and infectious agents at mucosal surfaces. Major constituent of both the inner and outer mucus layers of the colon and may play a role in excluding bacteria from the inner mucus layer. {ECO:0000269|PubMed:19432394}.; </t>
  </si>
  <si>
    <t xml:space="preserve">323.60</t>
  </si>
  <si>
    <t xml:space="preserve">189</t>
  </si>
  <si>
    <t xml:space="preserve">169,20</t>
  </si>
  <si>
    <t xml:space="preserve">MUC2:NM_002457:exon21:c.2738_2739insA:p.V914Rfs*29;MUC2:uc001lsx.1:exon21:c.2738_2739insA:p.V914Rfs*29;ENSG00000198788:ENST00000359061:exon21:c.2738_2739insA:p.V914Rfs*29,ENSG00000198788:ENST00000441003:exon21:c.2738_2739insA:p.V914Rfs*29</t>
  </si>
  <si>
    <t xml:space="preserve">GT</t>
  </si>
  <si>
    <t xml:space="preserve">329.60</t>
  </si>
  <si>
    <t xml:space="preserve">187</t>
  </si>
  <si>
    <t xml:space="preserve">167,20</t>
  </si>
  <si>
    <t xml:space="preserve">MUC2:NM_002457:exon21:c.2740_2741del:p.V914Hfs*28;MUC2:uc001lsx.1:exon21:c.2740_2741del:p.V914Hfs*28;ENSG00000198788:ENST00000359061:exon21:c.2740_2741del:p.V914Hfs*28,ENSG00000198788:ENST00000441003:exon21:c.2740_2741del:p.V914Hfs*28</t>
  </si>
  <si>
    <t xml:space="preserve">1504.64</t>
  </si>
  <si>
    <t xml:space="preserve">130</t>
  </si>
  <si>
    <t xml:space="preserve">69,61</t>
  </si>
  <si>
    <t xml:space="preserve">0.779570081093511</t>
  </si>
  <si>
    <t xml:space="preserve">BR serine/threonine kinase 2</t>
  </si>
  <si>
    <t xml:space="preserve">FUNCTION: Serine/threonine-protein kinase that plays a key role in polarization of neurons and axonogenesis, cell cycle progress and insulin secretion. Phosphorylates CDK16, CDC25C, MAPT/TAU, PAK1 and WEE1. Following phosphorylation and activation by STK11/LKB1, acts as a key regulator of polarization of cortical neurons, probably by mediating phosphorylation of microtubule-associated proteins such as MAPT/TAU at 'Thr-529' and 'Ser-579'. Also regulates neuron polarization by mediating phosphorylation of WEE1 at 'Ser-642' in postmitotic neurons, leading to down-regulate WEE1 activity in polarized neurons. Plays a role in the regulation of the mitotic cell cycle progress and the onset of mitosis. Plays a role in the regulation of insulin secretion in response to elevated glucose levels, probably via phosphorylation of CDK16 and PAK1. While BRSK2 phosphorylated at Thr-174 can inhibit insulin secretion (PubMed:22798068), BRSK2 phosphorylated at Thr-260 can promote insulin secretion (PubMed:22669945). Regulates reorganization of the actin cytoskeleton. May play a role in the apoptotic response triggered by endoplasmatic reticulum (ER) stress. {ECO:0000269|PubMed:14976552, ECO:0000269|PubMed:20026642, ECO:0000269|PubMed:21985311, ECO:0000269|PubMed:22669945, ECO:0000269|PubMed:22798068, ECO:0000269|PubMed:23029325}.; </t>
  </si>
  <si>
    <t xml:space="preserve">1554.64</t>
  </si>
  <si>
    <t xml:space="preserve">46,56</t>
  </si>
  <si>
    <t xml:space="preserve">0.999999978537761</t>
  </si>
  <si>
    <t xml:space="preserve">nucleoporin 98kDa</t>
  </si>
  <si>
    <t xml:space="preserve">FUNCTION: Plays a role in the nuclear pore complex (NPC) assembly and/or maintenance. Nup98 and Nup96 are involved in the bidirectional transport across the NPC. May anchor NUP153 and TPR to the NPC. {ECO:0000269|PubMed:15229283}.; </t>
  </si>
  <si>
    <t xml:space="preserve">DISEASE: Note=A chromosomal aberration involving NUP98 is found in a form of acute myeloid leukemia. Translocation t(7;11)(p15;p15) with HOXA9. Translocation t(11;17)(p15;p13) with PHF23. {ECO:0000269|PubMed:16028218}.; DISEASE: Note=A chromosomal aberration involving NUP98 is found in childhood acute myeloid leukemia. Translocation t(5;11)(q35;p15.5) with NSD1. Translocation t(8;11)(p11.2;p15) with WHSC1L1. {ECO:0000269|PubMed:16028218}.; DISEASE: Note=A chromosomal aberration involving NUP98 is found in a form of therapy-related myelodysplastic syndrome. Translocation t(11;20)(p15;q11) with TOP1. {ECO:0000269|PubMed:16028218}.; DISEASE: Note=A chromosomal aberration involving NUP98 is found in a form of T-cell acute lymphoblastic leukemia (T-ALL). Translocation t(3;11)(q12.2;p15.4) with LNP1. {ECO:0000269|PubMed:16028218}.; DISEASE: Note=A chromosomal aberration involving NUP98 is associated with pediatric acute myeloid leukemia (AML) with intermediate characteristics between M2-M3 French-American-British (FAB) subtypes. Translocation t(9;11)(p22;p15) with PSIP1/LEDGF. The chimeric transcript is an in-frame fusion of NUP98 exon 8 to PSIP1/LEDGF exon 4. {ECO:0000269|PubMed:16028218}.; DISEASE: Note=A chromosomal aberration involving NUP98 has been identified in acute leukemias. Translocation t(6;11)(q24.1;p15.5) with CCDC28A. The chimeric transcript is an in-frame fusion of NUP98 exon 13 to CCDC28A exon 2. Ectopic expression of NUP98- CCDC28A in mouse promotes the proliferative capacity and self- renewal potential of hematopoietic progenitors and rapidly induced fatal myeloproliferative neoplasms and defects in the differentiation of the erythro-megakaryocytic lineage. {ECO:0000269|PubMed:16028218}.; </t>
  </si>
  <si>
    <t xml:space="preserve">2877.60</t>
  </si>
  <si>
    <t xml:space="preserve">202</t>
  </si>
  <si>
    <t xml:space="preserve">104,98</t>
  </si>
  <si>
    <t xml:space="preserve">OR52A1:NM_012375:exon1:c.364delC:p.L122Wfs*11;OR52A1:uc010qyy.2:exon1:c.364delC:p.L122Wfs*11;ENSG00000182070:ENST00000328942:exon1:c.364delC:p.L122Wfs*11,ENSG00000182070:ENST00000380367:exon2:c.364delC:p.L122Wfs*11</t>
  </si>
  <si>
    <t xml:space="preserve">0.00107001892950523</t>
  </si>
  <si>
    <t xml:space="preserve">olfactory receptor family 52 subfamily A member 1</t>
  </si>
  <si>
    <t xml:space="preserve">95.64</t>
  </si>
  <si>
    <t xml:space="preserve">74,8</t>
  </si>
  <si>
    <t xml:space="preserve">3.93872340599153e-15</t>
  </si>
  <si>
    <t xml:space="preserve">ATP binding cassette subfamily C member 8</t>
  </si>
  <si>
    <t xml:space="preserve">FUNCTION: Subunit of the beta-cell ATP-sensitive potassium channel (KATP). Regulator of ATP-sensitive K(+) channels and insulin release. {ECO:0000269|PubMed:24814349, ECO:0000269|PubMed:25720052}.; </t>
  </si>
  <si>
    <t xml:space="preserve">DISEASE: Leucine-induced hypoglycemia (LIH) [MIM:240800]: Rare cause of hypoglycemia and is described as a condition in which symptomatic hypoglycemia is provoked by high protein feedings. Hypoglycemia is also elicited by administration of oral or intravenous infusions of a single amino acid, leucine. {ECO:0000269|PubMed:15356046}. Note=The disease is caused by mutations affecting the gene represented in this entry.; DISEASE: Familial hyperinsulinemic hypoglycemia 1 (HHF1) [MIM:256450]: Most common cause of persistent hypoglycemia in infancy. Unless early and aggressive intervention is undertaken, brain damage from recurrent episodes of hypoglycemia may occur. {ECO:0000269|PubMed:10202168, ECO:0000269|PubMed:10334322, ECO:0000269|PubMed:12364426, ECO:0000269|PubMed:12941782, ECO:0000269|PubMed:15562009, ECO:0000269|PubMed:15579781, ECO:0000269|PubMed:15807877, ECO:0000269|PubMed:16357843, ECO:0000269|PubMed:16429405, ECO:0000269|PubMed:24814349, ECO:0000269|PubMed:25720052, ECO:0000269|PubMed:8751851, ECO:0000269|PubMed:8923011, ECO:0000269|PubMed:9618169, ECO:0000269|PubMed:9769320}. Note=The disease is caused by mutations affecting the gene represented in this entry.; DISEASE: Diabetes mellitus, permanent neonatal (PNDM) [MIM:606176]: A rare form of diabetes distinct from childhood- onset autoimmune diabetes mellitus type 1. It is characterized by insulin-requiring hyperglycemia that is diagnosed within the first months of life. Permanent neonatal diabetes requires lifelong therapy. {ECO:0000269|PubMed:16613899, ECO:0000269|PubMed:16885549, ECO:0000269|PubMed:17213273, ECO:0000269|PubMed:17668386}. Note=The disease is caused by mutations affecting the gene represented in this entry.; DISEASE: Transient neonatal diabetes mellitus 2 (TNDM2) [MIM:610374]: Neonatal diabetes is a form of diabetes mellitus defined by the onset of mild-to-severe hyperglycemia within the first months of life. Transient neonatal diabetes remits early, with a possible relapse during adolescence. {ECO:0000269|PubMed:16885549}. Note=The disease is caused by mutations affecting the gene represented in this entry.; </t>
  </si>
  <si>
    <t xml:space="preserve">1321.64</t>
  </si>
  <si>
    <t xml:space="preserve">93</t>
  </si>
  <si>
    <t xml:space="preserve">41,52</t>
  </si>
  <si>
    <t xml:space="preserve">0.999000973193662</t>
  </si>
  <si>
    <t xml:space="preserve">mitogen-activated protein kinase 8 interacting protein 1</t>
  </si>
  <si>
    <t xml:space="preserve">FUNCTION: The JNK-interacting protein (JIP) group of scaffold proteins selectively mediates JNK signaling by aggregating specific components of the MAPK cascade to form a functional JNK signaling module. Required for JNK activation in response to excitotoxic stress. Cytoplasmic MAPK8IP1 causes inhibition of JNK- regulated activity by retaining JNK in the cytoplasm and inhibiting JNK phosphorylation of c-Jun. May also participate in ApoER2-specific reelin signaling. Directly, or indirectly, regulates GLUT2 gene expression and beta-cell function. Appears to have a role in cell signaling in mature and developing nerve terminals. May function as a regulator of vesicle transport, through interactions with the JNK-signaling components and motor proteins (By similarity). Functions as an anti-apoptotic protein and whose level seems to influence the beta-cell death or survival response. {ECO:0000250}.; </t>
  </si>
  <si>
    <t xml:space="preserve">DISEASE: Diabetes mellitus, non-insulin-dependent (NIDDM) [MIM:125853]: A multifactorial disorder of glucose homeostasis caused by a lack of sensitivity to the body's own insulin. Affected individuals usually have an obese body habitus and manifestations of a metabolic syndrome characterized by diabetes, insulin resistance, hypertension and hypertriglyceridemia. The disease results in long-term complications that affect the eyes, kidneys, nerves, and blood vessels. {ECO:0000269|PubMed:10700186}. Note=The disease may be caused by mutations affecting the gene represented in this entry.; </t>
  </si>
  <si>
    <t xml:space="preserve">814.60</t>
  </si>
  <si>
    <t xml:space="preserve">71</t>
  </si>
  <si>
    <t xml:space="preserve">42,29</t>
  </si>
  <si>
    <t xml:space="preserve">TMEM223:NM_001080501:exon1:c.205delC:p.R69Gfs*65;TMEM223:uc001nve.2:exon1:c.205delC:p.R69Gfs*65;ENSG00000168569:ENST00000307366:exon1:c.205delC:p.R69Gfs*65,ENSG00000168569:ENST00000525631:exon1:c.205delC:p.R69Gfs*58</t>
  </si>
  <si>
    <t xml:space="preserve">0.0124355311633348</t>
  </si>
  <si>
    <t xml:space="preserve">transmembrane protein 223</t>
  </si>
  <si>
    <t xml:space="preserve">853.60</t>
  </si>
  <si>
    <t xml:space="preserve">83</t>
  </si>
  <si>
    <t xml:space="preserve">49,34</t>
  </si>
  <si>
    <t xml:space="preserve">TMEM151A:NM_153266:exon2:c.1383delG:p.D463Mfs*25;TMEM151A:uc001ohl.3:exon2:c.1383delG:p.D463Mfs*25;ENSG00000179292:ENST00000327259:exon2:c.1383delG:p.D463Mfs*25</t>
  </si>
  <si>
    <t xml:space="preserve">0.788175023378681</t>
  </si>
  <si>
    <t xml:space="preserve">transmembrane protein 151A</t>
  </si>
  <si>
    <t xml:space="preserve">AGCTGTGG</t>
  </si>
  <si>
    <t xml:space="preserve">3287.60</t>
  </si>
  <si>
    <t xml:space="preserve">87,85</t>
  </si>
  <si>
    <t xml:space="preserve">GPR152:NM_206997:exon1:c.1127_1128insCCACAGCT:p.N377Hfs*3;GPR152:uc001olm.3:exon1:c.1127_1128insCCACAGCT:p.N377Hfs*3;ENSG00000175514:ENST00000312457:exon1:c.1127_1128insCCACAGCT:p.N377Hfs*3</t>
  </si>
  <si>
    <t xml:space="preserve">1.00978862123821e-05</t>
  </si>
  <si>
    <t xml:space="preserve">G protein-coupled receptor 152</t>
  </si>
  <si>
    <t xml:space="preserve">FUNCTION: Orphan receptor.; </t>
  </si>
  <si>
    <t xml:space="preserve">303.64</t>
  </si>
  <si>
    <t xml:space="preserve">14,11</t>
  </si>
  <si>
    <t xml:space="preserve">0.673915913889954</t>
  </si>
  <si>
    <t xml:space="preserve">aryl hydrocarbon receptor interacting protein</t>
  </si>
  <si>
    <t xml:space="preserve">FUNCTION: May play a positive role in AHR-mediated (aromatic hydrocarbon receptor) signaling, possibly by influencing its receptivity for ligand and/or its nuclear targeting.; </t>
  </si>
  <si>
    <t xml:space="preserve">DISEASE: ACTH-secreting pituitary adenoma (ASPA) [MIM:219090]: A pituitary adenoma resulting in excessive production of adrenocorticotropic hormone. This leads to hypersecretion of cortisol by the adrenal glands and ACTH-dependent Cushing syndrome. Clinical manifestations of Cushing syndrome include facial and truncal obesity, abdominal striae, muscular weakness, osteoporosis, arterial hypertension, diabetes. {ECO:0000269|PubMed:17360484}. Note=The disease is caused by mutations affecting the gene represented in this entry.; DISEASE: Prolactin-secreting pituitary adenoma (PSPA) [MIM:600634]: Most common type of hormonally active pituitary adenoma. {ECO:0000269|PubMed:16728643, ECO:0000305|PubMed:17244780}. Note=The disease is caused by mutations affecting the gene represented in this entry.; </t>
  </si>
  <si>
    <t xml:space="preserve">649.64</t>
  </si>
  <si>
    <t xml:space="preserve">36</t>
  </si>
  <si>
    <t xml:space="preserve">19,17</t>
  </si>
  <si>
    <t xml:space="preserve">downstream;ncRNA_intronic</t>
  </si>
  <si>
    <t xml:space="preserve">dist=54;dist=54</t>
  </si>
  <si>
    <t xml:space="preserve">86.64</t>
  </si>
  <si>
    <t xml:space="preserve">4,3</t>
  </si>
  <si>
    <t xml:space="preserve">0.00741067522640952</t>
  </si>
  <si>
    <t xml:space="preserve">folate receptor 1 (adult)</t>
  </si>
  <si>
    <t xml:space="preserve">FUNCTION: Binds to folate and reduced folic acid derivatives and mediates delivery of 5-methyltetrahydrofolate and folate analogs into the interior of cells. Has high affinity for folate and folic acid analogs at neutral pH. Exposure to slightly acidic pH after receptor endocytosis triggers a conformation change that strongly reduces its affinity for folates and mediates their release. Required for normal embryonic development and normal cell proliferation. {ECO:0000269|PubMed:23851396, ECO:0000269|PubMed:23934049, ECO:0000269|PubMed:2527252, ECO:0000269|PubMed:8033114, ECO:0000269|PubMed:8567728}.; </t>
  </si>
  <si>
    <t xml:space="preserve">DISEASE: Neurodegeneration due to cerebral folate transport deficiency (NCFTD) [MIM:613068]: A neurodegenerative disorder resulting from brain-specific folate deficiency early in life. Onset is apparent in late infancy with severe developmental regression, movement disturbances, epilepsy and leukodystrophy. {ECO:0000269|PubMed:19732866}. Note=The disease is caused by mutations affecting the gene represented in this entry.; </t>
  </si>
  <si>
    <t xml:space="preserve">375.64</t>
  </si>
  <si>
    <t xml:space="preserve">22,15</t>
  </si>
  <si>
    <t xml:space="preserve">0.92489377029294</t>
  </si>
  <si>
    <t xml:space="preserve">protein phosphatase methylesterase 1</t>
  </si>
  <si>
    <t xml:space="preserve">FUNCTION: Demethylates proteins that have been reversibly carboxymethylated. Demethylates PPP2CB (in vitro) and PPP2CA. Binding to PPP2CA displaces the manganese ion and inactivates the enzyme. {ECO:0000269|PubMed:10318862}.; </t>
  </si>
  <si>
    <t xml:space="preserve">1323.64</t>
  </si>
  <si>
    <t xml:space="preserve">63,53</t>
  </si>
  <si>
    <t xml:space="preserve">0.994296082928102</t>
  </si>
  <si>
    <t xml:space="preserve">sestrin 3</t>
  </si>
  <si>
    <t xml:space="preserve">41.64</t>
  </si>
  <si>
    <t xml:space="preserve">4,2</t>
  </si>
  <si>
    <t xml:space="preserve">0.99438640410443</t>
  </si>
  <si>
    <t xml:space="preserve">cell adhesion molecule 1</t>
  </si>
  <si>
    <t xml:space="preserve">FUNCTION: Mediates homophilic cell-cell adhesion in a Ca(2+)- independent manner. Also mediates heterophilic cell-cell adhesion with CADM3 and PVRL3 in a Ca(2+)-independent manner. Acts as a tumor suppressor in non-small-cell lung cancer (NSCLC) cells. Interaction with CRTAM promotes natural killer (NK) cell cytotoxicity and interferon-gamma (IFN-gamma) secretion by CD8+ cells in vitro as well as NK cell-mediated rejection of tumors expressing CADM3 in vivo. May contribute to the less invasive phenotypes of lepidic growth tumor cells. In mast cells, may mediate attachment to and promote communication with nerves. CADM1, together with MITF, is essential for development and survival of mast cells in vivo. Acts as a synaptic cell adhesion molecule and plays a role in the formation of dendritic spines and in synapse assembly (By similarity). May be involved in neuronal migration, axon growth, pathfinding, and fasciculation on the axons of differentiating neurons. May play diverse roles in the spermatogenesis including in the adhesion of spermatocytes and spermatids to Sertoli cells and for their normal differentiation into mature spermatozoa. {ECO:0000250, ECO:0000269|PubMed:11279526, ECO:0000269|PubMed:12050160, ECO:0000269|PubMed:12234973, ECO:0000269|PubMed:12920246, ECO:0000269|PubMed:15811952, ECO:0000269|PubMed:15905536, ECO:0000269|PubMed:22438059}.; </t>
  </si>
  <si>
    <t xml:space="preserve">154.60</t>
  </si>
  <si>
    <t xml:space="preserve">NM_001243597:c.*2349_*2350insC;NM_016952:c.*2349_*2350insC;uc001qdb.4:c.*2349_*2350insC;uc009zbw.3:c.*2349_*2350insC;uc001qdc.4:c.*2349_*2350insC</t>
  </si>
  <si>
    <t xml:space="preserve">3.04906879944482e-12</t>
  </si>
  <si>
    <t xml:space="preserve">cell adhesion associated, oncogene regulated</t>
  </si>
  <si>
    <t xml:space="preserve">FUNCTION: Component of a cell-surface receptor complex that mediates cell-cell interactions between muscle precursor cells. Promotes differentiation of myogenic cells (By similarity). {ECO:0000250}.; </t>
  </si>
  <si>
    <t xml:space="preserve">DISEASE: Holoprosencephaly 11 (HPE11) [MIM:614226]: A structural anomaly of the brain, in which the developing forebrain fails to correctly separate into right and left hemispheres. Holoprosencephaly is genetically heterogeneous and associated with several distinct facies and phenotypic variability. {ECO:0000269|PubMed:21802063}. Note=The disease is caused by mutations affecting the gene represented in this entry.; </t>
  </si>
  <si>
    <t xml:space="preserve">437.64</t>
  </si>
  <si>
    <t xml:space="preserve">29</t>
  </si>
  <si>
    <t xml:space="preserve">14,15</t>
  </si>
  <si>
    <t xml:space="preserve">0.00015946555998602</t>
  </si>
  <si>
    <t xml:space="preserve">poly(ADP-ribose) polymerase family member 11</t>
  </si>
  <si>
    <t xml:space="preserve">AAAAAAAAAAAAAAAA</t>
  </si>
  <si>
    <t xml:space="preserve">392.02</t>
  </si>
  <si>
    <t xml:space="preserve">9</t>
  </si>
  <si>
    <t xml:space="preserve">0,4,5</t>
  </si>
  <si>
    <t xml:space="preserve">NM_001204101:exon13:c.1699-2-&gt;TTTTTTTTTTTTTTTT;NM_001204102:exon17:c.1756-2-&gt;TTTTTTTTTTTTTTTT;NM_001319978:exon15:c.1756-2-&gt;TTTTTTTTTTTTTTTT;NM_001352061:exon14:c.1756-2-&gt;TTTTTTTTTTTTTTTT;NM_001082973:exon15:c.1876-2-&gt;TTTTTTTTTTTTTTTT;NM_001352067:exon11:c.1381-2-&gt;TTTTTTTTTTTTTTTT;NM_001352066:exon14:c.1438-2-&gt;TTTTTTTTTTTTTTTT;NM_001352064:exon13:c.1558-2-&gt;TTTTTTTTTTTTTTTT;NM_001352065:exon14:c.1540-2-&gt;TTTTTTTTTTTTTTTT;NM_018272:exon16:c.1894-2-&gt;TTTTTTTTTTTTTTTT;NM_001352063:exon14:c.1576-2-&gt;TTTTTTTTTTTTTTTT;uc001rgj.3:exon17:c.1756-2-&gt;TTTTTTTTTTTTTTTT;uc001rgk.3:exon16:c.1894-2-&gt;TTTTTTTTTTTTTTTT;uc001rgl.3:exon15:c.1876-2-&gt;TTTTTTTTTTTTTTTT;uc010sje.2:exon13:c.1699-2-&gt;TTTTTTTTTTTTTTTT;ENST00000395990:exon17:c.1756-2-&gt;TTTTTTTTTTTTTTTT;ENST00000320267:exon15:c.1876-2-&gt;TTTTTTTTTTTTTTTT;ENST00000395987:exon16:c.1894-2-&gt;TTTTTTTTTTTTTTTT;ENST00000556006:exon11:c.1371-2-&gt;TTTTTTTTTTTTTTTT;ENST00000545133:exon13:c.1699-2-&gt;TTTTTTTTTTTTTTTT</t>
  </si>
  <si>
    <t xml:space="preserve">8.0583173448997e-12</t>
  </si>
  <si>
    <t xml:space="preserve">cancer susceptibility candidate 1</t>
  </si>
  <si>
    <t xml:space="preserve">40.60</t>
  </si>
  <si>
    <t xml:space="preserve">47,10</t>
  </si>
  <si>
    <t xml:space="preserve">KMT2D:NM_003482:exon48:c.14760dupC:p.A4922Gfs*10;KMT2D:uc001rta.4:exon48:c.14760dupC:p.A4922Gfs*10;ENSG00000167548:ENST00000301067:exon48:c.14760dupC:p.A4922Gfs*10</t>
  </si>
  <si>
    <t xml:space="preserve">0.999999999999995</t>
  </si>
  <si>
    <t xml:space="preserve">lysine methyltransferase 2D</t>
  </si>
  <si>
    <t xml:space="preserve">FUNCTION: Histone methyltransferase. Methylates 'Lys-4' of histone H3 (H3K4me). H3K4me represents a specific tag for epigenetic transcriptional activation. Acts as a coactivator for estrogen receptor by being recruited by ESR1, thereby activating transcription. {ECO:0000269|PubMed:16603732, ECO:0000269|PubMed:17500065, ECO:0000269|PubMed:17851529}.; </t>
  </si>
  <si>
    <t xml:space="preserve">DISEASE: Kabuki syndrome 1 (KABUK1) [MIM:147920]: A congenital mental retardation syndrome with additional features, including postnatal dwarfism, a peculiar facies characterized by long palpebral fissures with eversion of the lateral third of the lower eyelids, a broad and depressed nasal tip, large prominent earlobes, a cleft or high-arched palate, scoliosis, short fifth finger, persistence of fingerpads, radiographic abnormalities of the vertebrae, hands, and hip joints, and recurrent otitis media in infancy. {ECO:0000269|PubMed:20711175, ECO:0000269|PubMed:21280141, ECO:0000269|PubMed:21607748, ECO:0000269|PubMed:21658225, ECO:0000269|PubMed:21671394, ECO:0000269|PubMed:22126750, ECO:0000269|PubMed:23320472, ECO:0000269|PubMed:23913813, ECO:0000269|PubMed:24739679}. Note=The disease is caused by mutations affecting the gene represented in this entry.; </t>
  </si>
  <si>
    <t xml:space="preserve">706.02</t>
  </si>
  <si>
    <t xml:space="preserve">0,11,10</t>
  </si>
  <si>
    <t xml:space="preserve">0.00438548410684657</t>
  </si>
  <si>
    <t xml:space="preserve">aquaporin 5</t>
  </si>
  <si>
    <t xml:space="preserve">FUNCTION: Forms a water-specific channel. Implicated in the generation of saliva, tears, and pulmonary secretions. Required for TRPV4 activation by hypotonicity (PubMed:16571723). Together with TRPV4, controls regulatory volume decrease in salivary epithelial cells (PubMed:16571723). {ECO:0000269|PubMed:16571723}.; </t>
  </si>
  <si>
    <t xml:space="preserve">DISEASE: Keratoderma, palmoplantar, Bothnian type (PPKB) [MIM:600231]: A dermatological disorder characterized by diffuse non-epidermolytic hyperkeratosis of the skin of palms and soles. PPKB is frequently complicated by fungal infections. {ECO:0000269|PubMed:23830519}. Note=The disease is caused by mutations affecting the gene represented in this entry.; </t>
  </si>
  <si>
    <t xml:space="preserve">551.64</t>
  </si>
  <si>
    <t xml:space="preserve">59</t>
  </si>
  <si>
    <t xml:space="preserve">35,24</t>
  </si>
  <si>
    <t xml:space="preserve">0.999828375740044</t>
  </si>
  <si>
    <t xml:space="preserve">citrate synthase</t>
  </si>
  <si>
    <t xml:space="preserve">GGTC</t>
  </si>
  <si>
    <t xml:space="preserve">373.60</t>
  </si>
  <si>
    <t xml:space="preserve">133,24</t>
  </si>
  <si>
    <t xml:space="preserve">CTDSP2:NM_005730:exon7:c.636_639del:p.K212Nfs*34;CTDSP2:uc010ssg.2:exon2:c.258_261del:p.K86Nfs*34,CTDSP2:uc001sqm.3:exon7:c.636_639del:p.K212Nfs*34,CTDSP2:uc009zqf.3:exon7:c.180_183del:p.K60Nfs*34;ENSG00000175215:ENST00000549039:exon3:c.198_201del:p.K66Nfs*34,ENSG00000175215:ENST00000398073:exon7:c.636_639del:p.K212Nfs*34,ENSG00000175215:ENST00000547701:exon7:c.180_183del:p.K60Nfs*34</t>
  </si>
  <si>
    <t xml:space="preserve">0.397665011331897</t>
  </si>
  <si>
    <t xml:space="preserve">CTD small phosphatase 2</t>
  </si>
  <si>
    <t xml:space="preserve">FUNCTION: Preferentially catalyzes the dephosphorylation of 'Ser- 5' within the tandem 7 residue repeats in the C-terminal domain (CTD) of the largest RNA polymerase II subunit POLR2A. Negatively regulates RNA polymerase II transcription, possibly by controlling the transition from initiation/capping to processive transcript elongation. Recruited by REST to neuronal genes that contain RE-1 elements, leading to neuronal gene silencing in non-neuronal cells. May contribute to the development of sarcomas. {ECO:0000269|PubMed:12721286, ECO:0000269|PubMed:15681389}.; </t>
  </si>
  <si>
    <t xml:space="preserve">TC</t>
  </si>
  <si>
    <t xml:space="preserve">420.60</t>
  </si>
  <si>
    <t xml:space="preserve">140</t>
  </si>
  <si>
    <t xml:space="preserve">117,23</t>
  </si>
  <si>
    <t xml:space="preserve">CTDSP2:NM_005730:exon7:c.632_633insGA:p.T213Rfs*35;CTDSP2:uc010ssg.2:exon2:c.254_255insGA:p.T87Rfs*35,CTDSP2:uc001sqm.3:exon7:c.632_633insGA:p.T213Rfs*35,CTDSP2:uc009zqf.3:exon7:c.176_177insGA:p.T61Rfs*35;ENSG00000175215:ENST00000549039:exon3:c.194_195insGA:p.T67Rfs*35,ENSG00000175215:ENST00000398073:exon7:c.632_633insGA:p.T213Rfs*35,ENSG00000175215:ENST00000547701:exon7:c.176_177insGA:p.T61Rfs*35</t>
  </si>
  <si>
    <t xml:space="preserve">1592.64</t>
  </si>
  <si>
    <t xml:space="preserve">136</t>
  </si>
  <si>
    <t xml:space="preserve">77,59</t>
  </si>
  <si>
    <t xml:space="preserve">5.89427992774507e-05</t>
  </si>
  <si>
    <t xml:space="preserve">POC1 centriolar protein B</t>
  </si>
  <si>
    <t xml:space="preserve">FUNCTION: Plays an important role in centriole assembly and/or stability and ciliogenesis (PubMed:20008567). Involved in early steps of centriole duplication, as well as in the later steps of centriole length control (PubMed:19109428). Acts in concert with POC1A to ensure centriole integrity and proper mitotic spindle formation. Required for primary cilia formation, ciliary length and also cell proliferation (PubMed:23015594). Required for retinal integrity (PubMed:25044745). {ECO:0000269|PubMed:19109428, ECO:0000269|PubMed:20008567, ECO:0000269|PubMed:23015594, ECO:0000269|PubMed:25044745}.; </t>
  </si>
  <si>
    <t xml:space="preserve">DISEASE: Cone-rod dystrophy 20 (CORD20) [MIM:615973]: A form of cone-rod dystrophy, an inherited retinal dystrophy characterized by retinal pigment deposits visible on fundus examination, predominantly in the macular region, and initial loss of cone photoreceptors followed by rod degeneration. This leads to decreased visual acuity and sensitivity in the central visual field, followed by loss of peripheral vision. Severe loss of vision occurs earlier than in retinitis pigmentosa. {ECO:0000269|PubMed:24945461, ECO:0000269|PubMed:25018096, ECO:0000269|PubMed:25044745}. Note=The disease is caused by mutations affecting the gene represented in this entry.; </t>
  </si>
  <si>
    <t xml:space="preserve">989.64</t>
  </si>
  <si>
    <t xml:space="preserve">70</t>
  </si>
  <si>
    <t xml:space="preserve">35,35</t>
  </si>
  <si>
    <t xml:space="preserve">0.999997542188065</t>
  </si>
  <si>
    <t xml:space="preserve">ATPase plasma membrane Ca2+ transporting 1</t>
  </si>
  <si>
    <t xml:space="preserve">FUNCTION: This magnesium-dependent enzyme catalyzes the hydrolysis of ATP coupled with the transport of calcium out of the cell.; </t>
  </si>
  <si>
    <t xml:space="preserve">314.64</t>
  </si>
  <si>
    <t xml:space="preserve">12,11</t>
  </si>
  <si>
    <t xml:space="preserve">0.913051821488741</t>
  </si>
  <si>
    <t xml:space="preserve">solute carrier family 41 member 2</t>
  </si>
  <si>
    <t xml:space="preserve">FUNCTION: Acts as a plasma-membrane magnesium transporter. {ECO:0000269|PubMed:16984228}.; </t>
  </si>
  <si>
    <t xml:space="preserve">TCTC</t>
  </si>
  <si>
    <t xml:space="preserve">2347.60</t>
  </si>
  <si>
    <t xml:space="preserve">118,65</t>
  </si>
  <si>
    <t xml:space="preserve">APPL2:NM_001251904:exon5:c.359_360insGAGA:p.K121Rfs*18,APPL2:NM_001251905:exon5:c.230_231insGAGA:p.K78Rfs*18,APPL2:NM_018171:exon5:c.359_360insGAGA:p.K121Rfs*18;APPL2:uc001tlf.1:exon5:c.359_360insGAGA:p.K121Rfs*18,APPL2:uc009zuq.3:exon5:c.230_231insGAGA:p.K78Rfs*18,APPL2:uc010swt.2:exon5:c.230_231insGAGA:p.K78Rfs*18,APPL2:uc010swu.1:exon5:c.359_360insGAGA:p.K121Rfs*18;ENSG00000136044:ENST00000549974:exon1:c.29_30insGAGA:p.K11Rfs*18,ENSG00000136044:ENST00000553097:exon4:c.260_261insGAGA:p.K88Rfs*18,ENSG00000136044:ENST00000258530:exon5:c.359_360insGAGA:p.K121Rfs*18,ENSG00000136044:ENST00000539978:exon5:c.230_231insGAGA:p.K78Rfs*18,ENSG00000136044:ENST00000547439:exon5:c.359_360insGAGA:p.K121Rfs*18,ENSG00000136044:ENST00000551662:exon5:c.359_360insGAGA:p.K121Rfs*18</t>
  </si>
  <si>
    <t xml:space="preserve">3.52822991386898e-09</t>
  </si>
  <si>
    <t xml:space="preserve">adaptor protein, phosphotyrosine interacting with PH domain and leucine zipper 2</t>
  </si>
  <si>
    <t xml:space="preserve">FUNCTION: Required for the regulation of cell proliferation in response to extracellular signals mediated by an early endosomal compartment. Links Rab5 to nuclear signal transduction. {ECO:0000269|PubMed:15016378}.; </t>
  </si>
  <si>
    <t xml:space="preserve">197.64</t>
  </si>
  <si>
    <t xml:space="preserve">19,10</t>
  </si>
  <si>
    <t xml:space="preserve">0.999862271558356</t>
  </si>
  <si>
    <t xml:space="preserve">ataxin 2</t>
  </si>
  <si>
    <t xml:space="preserve">FUNCTION: Involved in EGFR trafficking, acting as negative regulator of endocytic EGFR internalization at the plasma membrane. {ECO:0000269|PubMed:18602463}.; </t>
  </si>
  <si>
    <t xml:space="preserve">DISEASE: Spinocerebellar ataxia 2 (SCA2) [MIM:183090]: Spinocerebellar ataxia is a clinically and genetically heterogeneous group of cerebellar disorders. Patients show progressive incoordination of gait and often poor coordination of hands, speech and eye movements, due to cerebellum degeneration with variable involvement of the brainstem and spinal cord. SCA2 belongs to the autosomal dominant cerebellar ataxias type I (ADCA I) which are characterized by cerebellar ataxia in combination with additional clinical features like optic atrophy, ophthalmoplegia, bulbar and extrapyramidal signs, peripheral neuropathy and dementia. SCA2 is characterized by hyporeflexia, myoclonus and action tremor and dopamine-responsive parkinsonism. In some patients, SCA2 presents as pure familial parkinsonism without cerebellar signs. {ECO:0000269|PubMed:8896555, ECO:0000269|PubMed:8896556, ECO:0000269|PubMed:8896557}. Note=The disease is caused by mutations affecting the gene represented in this entry. SCA2 is caused by expansion of a CAG repeat resulting in about 36 to 52 repeats in some patients. Longer expansions result in earlier the expansion, onset of the disease.; DISEASE: Amyotrophic lateral sclerosis 13 (ALS13) [MIM:183090]: A neurodegenerative disorder affecting upper motor neurons in the brain and lower motor neurons in the brain stem and spinal cord, resulting in fatal paralysis. Sensory abnormalities are absent. The pathologic hallmarks of the disease include pallor of the corticospinal tract due to loss of motor neurons, presence of ubiquitin-positive inclusions within surviving motor neurons, and deposition of pathologic aggregates. The etiology of amyotrophic lateral sclerosis is likely to be multifactorial, involving both genetic and environmental factors. The disease is inherited in 5- 10% of the cases. {ECO:0000269|PubMed:20740007}. Note=Disease susceptibility is associated with variations affecting the gene represented in this entry. An increased risk for developing amyotrophic lateral sclerosis seems to be conferred by CAG repeat intermediate expansions greater than 23 but below the threshold for developing spinocerebellar ataxia.; </t>
  </si>
  <si>
    <t xml:space="preserve">523.64</t>
  </si>
  <si>
    <t xml:space="preserve">32</t>
  </si>
  <si>
    <t xml:space="preserve">13,19</t>
  </si>
  <si>
    <t xml:space="preserve">3.69447198098053e-08</t>
  </si>
  <si>
    <t xml:space="preserve">transmembrane phosphoinositide 3-phosphatase and tensin homolog 2</t>
  </si>
  <si>
    <t xml:space="preserve">374.64</t>
  </si>
  <si>
    <t xml:space="preserve">0.974459955902358</t>
  </si>
  <si>
    <t xml:space="preserve">zinc finger MYM-type containing 2</t>
  </si>
  <si>
    <t xml:space="preserve">FUNCTION: May function as a transcription factor.; </t>
  </si>
  <si>
    <t xml:space="preserve">DISEASE: Note=A chromosomal aberration involving ZMYM2 may be a cause of stem cell leukemia lymphoma syndrome (SCLL). Translocation t(8;13)(p11;q12) with FGFR1. SCLL usually presents as lymphoblastic lymphoma in association with a myeloproliferative disorder, often accompanied by pronounced peripheral eosinophilia and/or prominent eosinophilic infiltrates in the affected bone marrow. {ECO:0000269|PubMed:9716603}.; </t>
  </si>
  <si>
    <t xml:space="preserve">753.64</t>
  </si>
  <si>
    <t xml:space="preserve">35,31</t>
  </si>
  <si>
    <t xml:space="preserve">1062.64</t>
  </si>
  <si>
    <t xml:space="preserve">77</t>
  </si>
  <si>
    <t xml:space="preserve">38,39</t>
  </si>
  <si>
    <t xml:space="preserve">0.966380393739249</t>
  </si>
  <si>
    <t xml:space="preserve">forkhead box O1</t>
  </si>
  <si>
    <t xml:space="preserve">FUNCTION: Transcription factor that is the main target of insulin signaling and regulates metabolic homeostasis in response to oxidative stress. Binds to the insulin response element (IRE) with consensus sequence 5'-TT[G/A]TTTTG-3' and the related Daf-16 family binding element (DBE) with consensus sequence 5'- TT[G/A]TTTAC-3'. Activity suppressed by insulin. Main regulator of redox balance and osteoblast numbers and controls bone mass. Orchestrates the endocrine function of the skeleton in regulating glucose metabolism. Acts synergistically with ATF4 to suppress osteocalcin/BGLAP activity, increasing glucose levels and triggering glucose intolerance and insulin insensitivity. Also suppresses the transcriptional activity of RUNX2, an upstream activator of osteocalcin/BGLAP. In hepatocytes, promotes gluconeogenesis by acting together with PPARGC1A and CEBPA to activate the expression of genes such as IGFBP1, G6PC and PCK1. Important regulator of cell death acting downstream of CDK1, PKB/AKT1 and SKT4/MST1. Promotes neural cell death. Mediates insulin action on adipose tissue. Regulates the expression of adipogenic genes such as PPARG during preadipocyte differentiation and, adipocyte size and adipose tissue-specific gene expression in response to excessive calorie intake. Regulates the transcriptional activity of GADD45A and repair of nitric oxide- damaged DNA in beta-cells. Required for the autophagic cell death induction in response to starvation or oxidative stress in a transcription-independent manner. {ECO:0000250|UniProtKB:Q9R1E0, ECO:0000269|PubMed:10358076, ECO:0000269|PubMed:12228231, ECO:0000269|PubMed:15220471, ECO:0000269|PubMed:15890677, ECO:0000269|PubMed:18356527, ECO:0000269|PubMed:19221179, ECO:0000269|PubMed:20543840, ECO:0000269|PubMed:21245099}.; </t>
  </si>
  <si>
    <t xml:space="preserve">DISEASE: Rhabdomyosarcoma 2 (RMS2) [MIM:268220]: A form of rhabdomyosarcoma, a highly malignant tumor of striated muscle derived from primitive mesenchymal cells and exhibiting differentiation along rhabdomyoblastic lines. Rhabdomyosarcoma is one of the most frequently occurring soft tissue sarcomas and the most common in children. It occurs in four forms: alveolar, pleomorphic, embryonal and botryoidal rhabdomyosarcomas. Note=The gene represented in this entry may be involved in disease pathogenesis. Chromosomal aberrations involving FOXO1 are found in rhabdomyosarcoma. Translocation (2;13)(q35;q14) with PAX3 and translocation t(1;13)(p36;q14) with PAX7. The resulting protein is a transcriptional activator.; </t>
  </si>
  <si>
    <t xml:space="preserve">91.64</t>
  </si>
  <si>
    <t xml:space="preserve">7,3</t>
  </si>
  <si>
    <t xml:space="preserve">1038.64</t>
  </si>
  <si>
    <t xml:space="preserve">45</t>
  </si>
  <si>
    <t xml:space="preserve">14,31</t>
  </si>
  <si>
    <t xml:space="preserve">0.00061169243619552</t>
  </si>
  <si>
    <t xml:space="preserve">esterase D</t>
  </si>
  <si>
    <t xml:space="preserve">FUNCTION: Serine hydrolase involved in the detoxification of formaldehyde. {ECO:0000269|PubMed:3770744, ECO:0000269|PubMed:4768551}.; </t>
  </si>
  <si>
    <t xml:space="preserve">114.64</t>
  </si>
  <si>
    <t xml:space="preserve">8</t>
  </si>
  <si>
    <t xml:space="preserve">4,4</t>
  </si>
  <si>
    <t xml:space="preserve">0.0437301091973815</t>
  </si>
  <si>
    <t xml:space="preserve">SET domain bifurcated 2</t>
  </si>
  <si>
    <t xml:space="preserve">FUNCTION: Histone methyltransferase involved in left-right axis specification in early development and mitosis. Specifically trimethylates 'Lys-9' of histone H3 (H3K9me3). H3K9me3 is a specific tag for epigenetic transcriptional repression that recruits HP1 (CBX1, CBX3 and/or CBX5) proteins to methylated histones. Contributes to H3K9me3 in both the interspersed repetitive elements and centromere-associated repeats. Plays a role in chromosome condensation and segregation during mitosis. {ECO:0000269|PubMed:20404330}.; </t>
  </si>
  <si>
    <t xml:space="preserve">1439.64</t>
  </si>
  <si>
    <t xml:space="preserve">113</t>
  </si>
  <si>
    <t xml:space="preserve">64,49</t>
  </si>
  <si>
    <t xml:space="preserve">0.000169004064103246</t>
  </si>
  <si>
    <t xml:space="preserve">sodium leak channel, non-selective</t>
  </si>
  <si>
    <t xml:space="preserve">FUNCTION: Voltage-independent, cation-nonselective channel which is permeable to sodium, potassium and calcium ions. Responsible for the background sodium ion leak current in neurons and controls neuronal excitability. Activated either by neuropeptides substance P or neurotensin. Required for normal respiratory rhythm and neonatal survival (By similarity). {ECO:0000250, ECO:0000269|PubMed:17448995}.; </t>
  </si>
  <si>
    <t xml:space="preserve">DISEASE: Hypotonia, infantile, with psychomotor retardation and characteristic facies (IHPRF) [MIM:615419]: A neurodegenerative disease characterized by variable degrees of hypotonia, speech impairment, intellectual disability, pyramidal signs, subtle facial dysmorphism, and chronic constipation. Some patients manifest neuroaxonal dystrophy, optic atrophy, unmyelinated axons and spheroid bodies in tissue biopsies. {ECO:0000269|PubMed:23749988, ECO:0000269|PubMed:24075186}. Note=The disease is caused by mutations affecting the gene represented in this entry.; DISEASE: Congenital contractures of the limbs and face, hypotonia, and developmental delay (CLIFAHDD) [MIM:616266]: A disease characterized by congenital contractures of the limbs and face, resulting in characteristic facial features, abnormal tone, most commonly manifested as hypotonia, and variable degrees of developmental delay. {ECO:0000269|PubMed:25683120}. Note=The disease is caused by mutations affecting the gene represented in this entry.; </t>
  </si>
  <si>
    <t xml:space="preserve">chr14</t>
  </si>
  <si>
    <t xml:space="preserve">TA</t>
  </si>
  <si>
    <t xml:space="preserve">58.60</t>
  </si>
  <si>
    <t xml:space="preserve">14</t>
  </si>
  <si>
    <t xml:space="preserve">10,4</t>
  </si>
  <si>
    <t xml:space="preserve">uc001wtt.3:c.*210_*211insTA;uc001wtu.3:c.*210_*211insTA;uc001wtv.3:c.*210_*211insTA</t>
  </si>
  <si>
    <t xml:space="preserve">0.0819264859161676;0.294636981931893</t>
  </si>
  <si>
    <t xml:space="preserve">NK2 homeobox 1;surfactant associated 3</t>
  </si>
  <si>
    <t xml:space="preserve">FUNCTION: Transcription factor that binds and activates the promoter of thyroid specific genes such as thyroglobulin, thyroperoxidase, and thyrotropin receptor. Crucial in the maintenance of the thyroid differentiation phenotype. May play a role in lung development and surfactant homeostasis. Forms a regulatory loop with GRHL2 that coordinates lung epithelial cell morphogenesis and differentiation. Activates the transcription of GNRHR and plays a role in enhancing the circadian oscillation of its gene expression. Represses the transcription of the circadian transcriptional repressor NR1D1 (By similarity). {ECO:0000250|UniProtKB:P23441, ECO:0000250|UniProtKB:P50220}.; </t>
  </si>
  <si>
    <t xml:space="preserve">DISEASE: Chorea, hereditary benign (BHC) [MIM:118700]: A rare autosomal dominant movement disorder, defined by early onset in childhood, a stable or non-progressive course of chorea, and no mental deterioration. Chorea is characterized by involuntary, forcible, rapid, jerky movements that may be subtle or become confluent, markedly altering normal patterns of movement. {ECO:0000269|PubMed:11971878, ECO:0000269|PubMed:15955952}. Note=The disease is caused by mutations affecting the gene represented in this entry.; DISEASE: Choreoathetosis and congenital hypothyroidism with or without pulmonary dysfunction (CAHTP) [MIM:610978]: An autosomal dominant disorder that manifests in infancy with neurological disturbances, hypothyroidism, and respiratory problems. It is characterized by movement abnormalities beginning with muscular hypotonia followed by the development of chorea, athetosis, dystonia, ataxia, and dysarthria. {ECO:0000269|PubMed:11854318, ECO:0000269|PubMed:11854319, ECO:0000269|PubMed:15289765, ECO:0000269|PubMed:24714694}. Note=The disease is caused by mutations affecting the gene represented in this entry.; </t>
  </si>
  <si>
    <t xml:space="preserve">1737.64</t>
  </si>
  <si>
    <t xml:space="preserve">76,72</t>
  </si>
  <si>
    <t xml:space="preserve">0.605609113854515</t>
  </si>
  <si>
    <t xml:space="preserve">methylenetetrahydrofolate dehydrogenase (NADP+ dependent) 1, methenyltetrahydrofolate cyclohydrolase, formyltetrahydrofolate synthetase</t>
  </si>
  <si>
    <t xml:space="preserve">DISEASE: Neural tube defects, folate-sensitive (NTDFS) [MIM:601634]: The most common NTDs are open spina bifida (myelomeningocele) and anencephaly. {ECO:0000269|PubMed:12384833, ECO:0000269|PubMed:16552426, ECO:0000269|PubMed:9611072}. Note=Disease susceptibility is associated with variations affecting the gene represented in this entry.; DISEASE: Colorectal cancer (CRC) [MIM:114500]: A complex disease characterized by malignant lesions arising from the inner wall of the large intestine (the colon) and the rectum. Genetic alterations are often associated with progression from premalignant lesion (adenoma) to invasive adenocarcinoma. Risk factors for cancer of the colon and rectum include colon polyps, long-standing ulcerative colitis, and genetic family history. Note=Disease susceptibility may be associated with variations affecting the gene represented in this entry.; DISEASE: Note=MTHFD1 deficiency, due to mutation in this gene, can cause a metabolic syndrome with variable features including hyperhomocysteinemia, megaloblastic anemia, hemolytic uremic syndrome (HUS), severe combined immunodeficiency, microangiopathy and retinopathy. Symptoms improve after treatment with hydroxocobalamin, betaine and folinic acid. {ECO:0000269|PubMed:21813566, ECO:0000269|PubMed:25633902}.; </t>
  </si>
  <si>
    <t xml:space="preserve">42.64</t>
  </si>
  <si>
    <t xml:space="preserve">7,2</t>
  </si>
  <si>
    <t xml:space="preserve">1.03844572602961e-11</t>
  </si>
  <si>
    <t xml:space="preserve">zinc finger FYVE-type containing 26</t>
  </si>
  <si>
    <t xml:space="preserve">FUNCTION: Phosphatidylinositol 3-phosphate-binding protein required for the abcission step in cytokinesis: recruited to the midbody during cytokinesis and acts as a regulator of abcission. May also be required for efficient homologous recombination DNA double-strand break repair. {ECO:0000269|PubMed:20208530}.; </t>
  </si>
  <si>
    <t xml:space="preserve">DISEASE: Spastic paraplegia 15, autosomal recessive (SPG15) [MIM:270700]: A form of spastic paraplegia, a neurodegenerative disorder characterized by a slow, gradual, progressive weakness and spasticity of the lower limbs. Rate of progression and the severity of symptoms are quite variable. Initial symptoms may include difficulty with balance, weakness and stiffness in the legs, muscle spasms, and dragging the toes when walking. In some forms of the disorder, bladder symptoms (such as incontinence) may appear, or the weakness and stiffness may spread to other parts of the body. SPG15 is a complex form associated with additional neurological symptoms such as cognitive deterioration or mental retardation, axonal neuropathy, mild cerebellar signs, and, less frequently, a central hearing deficit, decreased visual acuity, or retinal degeneration. {ECO:0000269|PubMed:18394578, ECO:0000269|PubMed:19084844, ECO:0000269|PubMed:19805727}. Note=The disease is caused by mutations affecting the gene represented in this entry.; </t>
  </si>
  <si>
    <t xml:space="preserve">47.64</t>
  </si>
  <si>
    <t xml:space="preserve">5,3</t>
  </si>
  <si>
    <t xml:space="preserve">0.000428255871835589</t>
  </si>
  <si>
    <t xml:space="preserve">eukaryotic translation initiation factor 2B subunit beta</t>
  </si>
  <si>
    <t xml:space="preserve">FUNCTION: Catalyzes the exchange of eukaryotic initiation factor 2-bound GDP for GTP.; </t>
  </si>
  <si>
    <t xml:space="preserve">DISEASE: Leukodystrophy with vanishing white matter (VWM) [MIM:603896]: A leukodystrophy that occurs mainly in children. Neurological signs include progressive cerebellar ataxia, spasticity, inconstant optic atrophy and relatively preserved mental abilities. The disease is chronic-progressive with, in most individuals, additional episodes of rapid deterioration following febrile infections or minor head trauma. While childhood onset is the most common form of the disorder, some severe forms are apparent at birth. A severe, early-onset form seen among the Cree and Chippewayan populations of Quebec and Manitoba is called Cree leukoencephalopathy. Milder forms may not become evident until adolescence or adulthood. Some females with milder forms of the disease who survive to adolescence exhibit ovarian dysfunction. This variant of the disorder is called ovarioleukodystrophy. {ECO:0000269|PubMed:11704758, ECO:0000269|PubMed:12707859, ECO:0000269|PubMed:15776425, ECO:0000269|PubMed:21484434, ECO:0000269|PubMed:22285377, ECO:0000269|PubMed:22729508}. Note=The disease is caused by mutations affecting the gene represented in this entry.; </t>
  </si>
  <si>
    <t xml:space="preserve">832.64</t>
  </si>
  <si>
    <t xml:space="preserve">69</t>
  </si>
  <si>
    <t xml:space="preserve">39,30</t>
  </si>
  <si>
    <t xml:space="preserve">0.542080991203377</t>
  </si>
  <si>
    <t xml:space="preserve">estrogen related receptor beta</t>
  </si>
  <si>
    <t xml:space="preserve">FUNCTION: Nuclear receptor, may regulate ESR1 transcriptional activity. Induces the expression of PERM1 in the skeletal muscle. {ECO:0000269|PubMed:19755138, ECO:0000269|PubMed:23836911}.; </t>
  </si>
  <si>
    <t xml:space="preserve">DISEASE: Deafness, autosomal recessive, 35 (DFNB35) [MIM:608565]: A form of non-syndromic deafness characterized by non-progressive, prelingual hearing loss. {ECO:0000269|PubMed:18179891}. Note=The disease is caused by mutations affecting the gene represented in this entry.; </t>
  </si>
  <si>
    <t xml:space="preserve">2305.64</t>
  </si>
  <si>
    <t xml:space="preserve">211</t>
  </si>
  <si>
    <t xml:space="preserve">107,104</t>
  </si>
  <si>
    <t xml:space="preserve">NM_194287:exon13:c.1442+1G&gt;A;uc001xsx.2:exon13:c.1442+1G&gt;A;uc010asn.1:exon12:c.722+1G&gt;A;ENST00000216450:exon12:c.1345+1G&gt;A;ENST00000216450:exon12:UTR3;ENST00000393774:exon13:c.1442+1G&gt;A;ENST00000484640:exon14:c.1596+1G&gt;A;ENST00000484640:exon14:UTR3</t>
  </si>
  <si>
    <t xml:space="preserve">leucine rich repeat containing 74A</t>
  </si>
  <si>
    <t xml:space="preserve">1151.02</t>
  </si>
  <si>
    <t xml:space="preserve">42</t>
  </si>
  <si>
    <t xml:space="preserve">1,6,35</t>
  </si>
  <si>
    <t xml:space="preserve">5.80341698067131e-06</t>
  </si>
  <si>
    <t xml:space="preserve">thyroid stimulating hormone receptor</t>
  </si>
  <si>
    <t xml:space="preserve">FUNCTION: Receptor for thyrothropin. Plays a central role in controlling thyroid cell metabolism. The activity of this receptor is mediated by G proteins which activate adenylate cyclase. Also acts as a receptor for thyrostimulin (GPA2+GPB5). {ECO:0000269|PubMed:12045258}.; </t>
  </si>
  <si>
    <t xml:space="preserve">DISEASE: Note=Defects in TSHR are found in patients affected by hyperthyroidism with different etiologies. Somatic, constitutively activating TSHR mutations and/or constitutively activating G(s)alpha mutations have been identified in toxic thyroid nodules (TTNs) that are the predominant cause of hyperthyroidism in iodine deficient areas. These mutations lead to TSH independent activation of the cAMP cascade resulting in thyroid growth and hormone production. TSHR mutations are found in autonomously functioning thyroid nodules (AFTN), toxic multinodular goiter (TMNG) and hyperfunctioning thyroid adenomas (HTA). TMNG encompasses a spectrum of different clinical entities, ranging from a single hyperfunctioning nodule within an enlarged thyroid, to multiple hyperfunctioning areas scattered throughout the gland. HTA are discrete encapsulated neoplasms characterized by TSH- independent autonomous growth, hypersecretion of thyroid hormones, and TSH suppression. Defects in TSHR are also a cause of thyroid neoplasms (papillary and follicular cancers).; DISEASE: Note=Autoantibodies against TSHR are directly responsible for the pathogenesis and hyperthyroidism of Graves disease. Antibody interaction with TSHR results in an uncontrolled receptor stimulation.; DISEASE: Hypothyroidism, congenital, non-goitrous, 1 (CHNG1) [MIM:275200]: A non-autoimmune condition characterized by resistance to thyroid-stimulating hormone (TSH) leading to increased levels of plasma TSH and low levels of thyroid hormone. It presents variable severity depending on the completeness of the defect. Most patients are euthyroid and asymptomatic, with a normal sized thyroid gland. Only a subset of patients develop hypothyroidism and present a hypoplastic thyroid gland. {ECO:0000269|PubMed:10720030, ECO:0000269|PubMed:11095460, ECO:0000269|PubMed:11442002, ECO:0000269|PubMed:12050212, ECO:0000269|PubMed:14725684, ECO:0000269|PubMed:15531543, ECO:0000269|PubMed:7528344, ECO:0000269|PubMed:8954020, ECO:0000269|PubMed:9100579, ECO:0000269|PubMed:9185526, ECO:0000269|PubMed:9329388}. Note=The disease is caused by mutations affecting the gene represented in this entry.; DISEASE: Familial gestational hyperthyroidism (HTFG) [MIM:603373]: A condition characterized by abnormally high levels of serum thyroid hormones occurring during early pregnancy. {ECO:0000269|PubMed:9854118}. Note=The disease is caused by mutations affecting the gene represented in this entry.; DISEASE: Hyperthyroidism, non-autoimmune (HTNA) [MIM:609152]: A condition characterized by abnormally high levels of serum thyroid hormones, thyroid hyperplasia, goiter and lack of anti-thyroid antibodies. Typical features of Graves disease such as exophthalmia, myxedema, antibodies anti-TSH receptor and lymphocytic infiltration of the thyroid gland are absent. {ECO:0000269|PubMed:10199795, ECO:0000269|PubMed:10852462, ECO:0000269|PubMed:11081252, ECO:0000269|PubMed:11127522, ECO:0000269|PubMed:11201847, ECO:0000269|PubMed:11517004, ECO:0000269|PubMed:11549687, ECO:0000269|PubMed:15163335, ECO:0000269|PubMed:7800007, ECO:0000269|PubMed:7920658, ECO:0000269|PubMed:8636266, ECO:0000269|PubMed:8964822, ECO:0000269|PubMed:9349581, ECO:0000269|PubMed:9360555, ECO:0000269|PubMed:9398746, ECO:0000269|PubMed:9589634}. Note=The disease is caused by mutations affecting the gene represented in this entry.; </t>
  </si>
  <si>
    <t xml:space="preserve">TTTTTTTCTTTTTAC</t>
  </si>
  <si>
    <t xml:space="preserve">3250.02</t>
  </si>
  <si>
    <t xml:space="preserve">60</t>
  </si>
  <si>
    <t xml:space="preserve">0,46,14</t>
  </si>
  <si>
    <t xml:space="preserve">623.64</t>
  </si>
  <si>
    <t xml:space="preserve">44</t>
  </si>
  <si>
    <t xml:space="preserve">22,22</t>
  </si>
  <si>
    <t xml:space="preserve">0.0428984052164855</t>
  </si>
  <si>
    <t xml:space="preserve">vaccinia related kinase 1</t>
  </si>
  <si>
    <t xml:space="preserve">FUNCTION: Serine/threonine kinase involved in Golgi disassembly during the cell cycle: following phosphorylation by PLK3 during mitosis, required to induce Golgi fragmentation. Acts by mediating phosphorylation of downstream target protein. Phosphorylates 'Thr- 18' of p53/TP53 and may thereby prevent the interaction between p53/TP53 and MDM2. Phosphorylates casein and histone H3. Phosphorylates BANF1: disrupts its ability to bind DNA, reduces its binding to LEM domain-containing proteins and causes its relocalization from the nucleus to the cytoplasm. Phosphorylates ATF2 which activates its transcriptional activity. {ECO:0000269|PubMed:10951572, ECO:0000269|PubMed:14645249, ECO:0000269|PubMed:15105425, ECO:0000269|PubMed:16495336, ECO:0000269|PubMed:18617507, ECO:0000269|PubMed:19103756}.; </t>
  </si>
  <si>
    <t xml:space="preserve">DISEASE: Pontocerebellar hypoplasia 1A (PCH1A) [MIM:607596]: A disorder characterized by an abnormally small cerebellum and brainstem, central and peripheral motor dysfunction from birth, gliosis and spinal cord anterior horn cells degeneration resembling infantile spinal muscular atrophy. Additional features include muscle hypotonia, congenital contractures and respiratory insufficiency that is evident at birth. {ECO:0000269|PubMed:19646678}. Note=The disease is caused by mutations affecting the gene represented in this entry.; </t>
  </si>
  <si>
    <t xml:space="preserve">4058.60</t>
  </si>
  <si>
    <t xml:space="preserve">289</t>
  </si>
  <si>
    <t xml:space="preserve">166,123</t>
  </si>
  <si>
    <t xml:space="preserve">exonic;intergenic;ncRNA_exonic</t>
  </si>
  <si>
    <t xml:space="preserve">dist=97197;dist=210374;ENSG00000211967:ENST00000390627:exon2:c.294delT:p.L99Ffs*3</t>
  </si>
  <si>
    <t xml:space="preserve">217.64</t>
  </si>
  <si>
    <t xml:space="preserve">37,8</t>
  </si>
  <si>
    <t xml:space="preserve">HECT and RLD domain containing E3 ubiquitin protein ligase 2</t>
  </si>
  <si>
    <t xml:space="preserve">FUNCTION: E3 ubiquitin-protein ligase that regulates ubiquitin- dependent retention of repair proteins on damaged chromosomes. Recruited to sites of DNA damage in response to ionizing radiation (IR) and facilitates the assembly of UBE2N and RNF8 promoting DNA damage-induced formation of 'Lys-63'-linked ubiquitin chains. Acts as a mediator of binding specificity between UBE2N and RNF8. Involved in the maintenance of RNF168 levels. E3 ubiquitin-protein ligase that promotes the ubiquitination and proteasomal degradation of XPA which influences the circadian oscillation of DNA excision repair activity. {ECO:0000269|PubMed:20023648, ECO:0000269|PubMed:20304803, ECO:0000269|PubMed:22508508}.; </t>
  </si>
  <si>
    <t xml:space="preserve">DISEASE: Mental retardation, autosomal recessive 38 (MRT38) [MIM:615516]: A disorder characterized by significantly below average general intellectual functioning associated with impairments in adaptive behavior and manifested during the developmental period. MRT38 is characterized by global developmental delay affecting motor, speech, adaptive, and social development. Patients manifest autistic features, aggression, self-injury, impulsivity, and distractibility. {ECO:0000269|PubMed:23065719}. Note=The disease is caused by mutations affecting the gene represented in this entry.; </t>
  </si>
  <si>
    <t xml:space="preserve">700.02</t>
  </si>
  <si>
    <t xml:space="preserve">3,14,11</t>
  </si>
  <si>
    <t xml:space="preserve">exonic;ncRNA_exonic</t>
  </si>
  <si>
    <t xml:space="preserve">LOC283710:NM_001243538:exon2:c.75delC:p.R26Gfs*101;LOC283710:uc021sib.1:exon2:c.75delC:p.R26Gfs*101</t>
  </si>
  <si>
    <t xml:space="preserve">340.64</t>
  </si>
  <si>
    <t xml:space="preserve">22,13</t>
  </si>
  <si>
    <t xml:space="preserve">0.999999999807578</t>
  </si>
  <si>
    <t xml:space="preserve">INO80 complex subunit</t>
  </si>
  <si>
    <t xml:space="preserve">FUNCTION: DNA helicase and probable main scaffold component of the chromatin remodeling INO80 complex which is involved in transcriptional regulation, DNA replication and probably DNA repair; according to PubMed:20687897 the contribution to DNA double-strand break repair appears to be largely indirect through transcriptional regulation. Recruited by YY1 to YY1-activated genes, where it acts as an essential coactivator. Binds DNA. In vitro, has double-stranded DNA-dependent ATPase activity. Involved in UV-damage excision repair, DNA replication and chromosome segregation during normal cell division cycle. {ECO:0000269|PubMed:16230350, ECO:0000269|PubMed:16298340, ECO:0000269|PubMed:17721549, ECO:0000269|PubMed:20237820, ECO:0000269|PubMed:20687897, ECO:0000269|PubMed:20855601, ECO:0000269|PubMed:21303910}.; </t>
  </si>
  <si>
    <t xml:space="preserve">1197.64</t>
  </si>
  <si>
    <t xml:space="preserve">39,45</t>
  </si>
  <si>
    <t xml:space="preserve">0.999999999646878</t>
  </si>
  <si>
    <t xml:space="preserve">MGA, MAX dimerization protein</t>
  </si>
  <si>
    <t xml:space="preserve">FUNCTION: Functions as a dual-specificity transcription factor, regulating the expression of both MAX-network and T-box family target genes. Functions as a repressor or an activator. Binds to 5'-AATTTCACACCTAGGTGTGAAATT-3' core sequence and seems to regulate MYC-MAX target genes. Suppresses transcriptional activation by MYC and inhibits MYC-dependent cell transformation. Function activated by heterodimerization with MAX. This heterodimerization serves the dual function of both generating an E-box-binding heterodimer and simultaneously blocking interaction of a corepressor (By similarity). {ECO:0000250}.; </t>
  </si>
  <si>
    <t xml:space="preserve">CACTTAGTACAGGTTCCAC</t>
  </si>
  <si>
    <t xml:space="preserve">3402.60</t>
  </si>
  <si>
    <t xml:space="preserve">229</t>
  </si>
  <si>
    <t xml:space="preserve">138,91</t>
  </si>
  <si>
    <t xml:space="preserve">LCMT2:NM_014793:exon1:c.1510_1528del:p.V504Tfs*7;LCMT2:uc001zrg.3:exon1:c.1510_1528del:p.V504Tfs*7;ENSG00000168806:ENST00000305641:exon1:c.1510_1528del:p.V504Tfs*7,ENSG00000168806:ENST00000544735:exon2:c.247_265del:p.V83Tfs*7</t>
  </si>
  <si>
    <t xml:space="preserve">7.26615001081782e-08</t>
  </si>
  <si>
    <t xml:space="preserve">leucine carboxyl methyltransferase 2</t>
  </si>
  <si>
    <t xml:space="preserve">FUNCTION: Probable S-adenosyl-L-methionine-dependent methyltransferase that acts as a component of the wybutosine biosynthesis pathway. Wybutosine is a hyper modified guanosine with a tricyclic base found at the 3'-position adjacent to the anticodon of eukaryotic phenylalanine tRNA (By similarity). May methylate the carboxyl group of leucine residues to form alpha- leucine ester residues. {ECO:0000250}.; </t>
  </si>
  <si>
    <t xml:space="preserve">668.64</t>
  </si>
  <si>
    <t xml:space="preserve">61</t>
  </si>
  <si>
    <t xml:space="preserve">38,23</t>
  </si>
  <si>
    <t xml:space="preserve">NM_016132:exon11:c.1138+1G&gt;T;NM_001301210:exon11:c.1138+1G&gt;T;uc001zwi.4:exon11:c.1138+1G&gt;T;uc001zwj.4:exon11:c.1138+1G&gt;T;ENST00000324324:exon11:c.1138+1G&gt;T;ENST00000267836:exon11:c.1138+1G&gt;T</t>
  </si>
  <si>
    <t xml:space="preserve">0.999492304383741</t>
  </si>
  <si>
    <t xml:space="preserve">myelin expression factor 2</t>
  </si>
  <si>
    <t xml:space="preserve">FUNCTION: Transcriptional repressor of the myelin basic protein gene (MBP). Binds to the proximal MB1 element 5'-TTGTCC-3' of the MBP promoter. Its binding to MB1 and function are inhibited by PURA (By similarity). {ECO:0000250}.; </t>
  </si>
  <si>
    <t xml:space="preserve">1567.64</t>
  </si>
  <si>
    <t xml:space="preserve">57,56</t>
  </si>
  <si>
    <t xml:space="preserve">4.61254731939258e-07</t>
  </si>
  <si>
    <t xml:space="preserve">DYX1C1-CCPG1 readthrough (NMD candidate);dyslexia susceptibility 1 candidate 1</t>
  </si>
  <si>
    <t xml:space="preserve">FUNCTION: Involved in neuronal migration during development of the cerebral neocortex. May regulate the stability and proteasomal degradation of the estrogen receptors that play an important role in neuronal differentiation, survival and plasticity. Axonemal dynein assembly factor required for ciliary motility. {ECO:0000269|PubMed:19423554, ECO:0000269|PubMed:23872636}.; </t>
  </si>
  <si>
    <t xml:space="preserve">DISEASE: Ciliary dyskinesia, primary, 25 (CILD25) [MIM:615482]: A disorder characterized by abnormalities of motile cilia. Respiratory infections leading to chronic inflammation and bronchiectasis are recurrent, due to defects in the respiratory cilia. Patients may exhibit randomization of left-right body asymmetry and situs inversus, due to dysfunction of monocilia at the embryonic node. Primary ciliary dyskinesia associated with situs inversus is referred to as Kartagener syndrome. {ECO:0000269|PubMed:23872636, ECO:0000269|PubMed:25186273}. Note=The disease is caused by mutations affecting the gene represented in this entry.; </t>
  </si>
  <si>
    <t xml:space="preserve">218.60</t>
  </si>
  <si>
    <t xml:space="preserve">166</t>
  </si>
  <si>
    <t xml:space="preserve">137,29</t>
  </si>
  <si>
    <t xml:space="preserve">NM_001330326:exon2:c.50-2-&gt;T;NM_015617:exon2:c.50-2-&gt;T;NM_001367806:exon2:c.50-2-&gt;T;uc010bfl.1:exon2:c.50-2-&gt;T;uc002adf.1:exon2:c.50-2-&gt;T;ENST00000302000:exon2:c.50-2-&gt;T;ENST00000563719:exon2:c.50-2-&gt;T</t>
  </si>
  <si>
    <t xml:space="preserve">0.956651521929469</t>
  </si>
  <si>
    <t xml:space="preserve">pygopus family PHD finger 1</t>
  </si>
  <si>
    <t xml:space="preserve">FUNCTION: Involved in signal transduction through the Wnt pathway.; </t>
  </si>
  <si>
    <t xml:space="preserve">1419.64</t>
  </si>
  <si>
    <t xml:space="preserve">63,54</t>
  </si>
  <si>
    <t xml:space="preserve">0.516630055977224</t>
  </si>
  <si>
    <t xml:space="preserve">aldehyde dehydrogenase 1 family member A2</t>
  </si>
  <si>
    <t xml:space="preserve">FUNCTION: Recognizes as substrates free retinal and cellular retinol-binding protein-bound retinal. Does metabolize octanal and decanal but does not metabolize citral, benzaldehyde, acetaldehyde and propanal efficiently (By similarity). {ECO:0000250}.; </t>
  </si>
  <si>
    <t xml:space="preserve">78.58</t>
  </si>
  <si>
    <t xml:space="preserve">76,14</t>
  </si>
  <si>
    <t xml:space="preserve">NM_001329607:exon12:c.1215-2-&gt;T;NM_001329605:exon13:c.1326-2-&gt;T;uc002ang.1:exon11:c.1215-2-&gt;T;uc002anh.1:exon13:c.1326-2-&gt;T;ENST00000607537:exon13:c.1326-2-&gt;T</t>
  </si>
  <si>
    <t xml:space="preserve">0.999715378765103</t>
  </si>
  <si>
    <t xml:space="preserve">casein kinase 1 gamma 1</t>
  </si>
  <si>
    <t xml:space="preserve">FUNCTION: Serine/threonine-protein kinase. Casein kinases are operationally defined by their preferential utilization of acidic proteins such as caseins as substrates. It can phosphorylate a large number of proteins. Participates in Wnt signaling. Regulates fast synaptic transmission mediated by glutamate (By similarity). Phosphorylates CLSPN. {ECO:0000250, ECO:0000269|PubMed:21680713}.; </t>
  </si>
  <si>
    <t xml:space="preserve">338.64</t>
  </si>
  <si>
    <t xml:space="preserve">31</t>
  </si>
  <si>
    <t xml:space="preserve">17,14</t>
  </si>
  <si>
    <t xml:space="preserve">0.766826744088607</t>
  </si>
  <si>
    <t xml:space="preserve">caseinolytic mitochondrial matrix peptidase chaperone subunit</t>
  </si>
  <si>
    <t xml:space="preserve">FUNCTION: ATP-dependent specificity component of the Clp protease complex. Hydrolyzes ATP. Targets specific substrates for degradation by the Clp complex (PubMed:11923310, PubMed:22710082). Can perform chaperone functions in the absence of CLPP. Enhances the DNA-binding activity of TFAM and is required for maintaining a normal mitochondrial nucleoid structure (PubMed:22841477). ATP- dependent unfoldase that stimulates the incorporation of the pyridoxal phosphate cofactor into 5-aminolevulinate synthase, thereby activating 5-aminolevulinate (ALA) synthesis, the first step in heme biosynthesis. Important for efficient erythropoiesis through upregulation of heme biosynthesis (PubMed:25957689). {ECO:0000269|PubMed:11923310, ECO:0000269|PubMed:22710082, ECO:0000269|PubMed:22841477, ECO:0000269|PubMed:25957689}.; </t>
  </si>
  <si>
    <t xml:space="preserve">GGCA</t>
  </si>
  <si>
    <t xml:space="preserve">1662.60</t>
  </si>
  <si>
    <t xml:space="preserve">76</t>
  </si>
  <si>
    <t xml:space="preserve">33,43</t>
  </si>
  <si>
    <t xml:space="preserve">NEIL1:NM_001256552:exon2:c.327_328insGGCA:p.G111Rfs*14,NEIL1:NM_001352520:exon2:c.69_70insGGCA:p.G25Rfs*14,NEIL1:NM_024608:exon2:c.69_70insGGCA:p.G25Rfs*14;NEIL1:uc002bad.4:exon2:c.69_70insGGCA:p.G25Rfs*14,NEIL1:uc002bae.4:exon2:c.327_328insGGCA:p.G111Rfs*14,NEIL1:uc031qst.1:exon3:c.198_199insGGCA:p.G68Rfs*14;ENSG00000140398:ENST00000355059:exon2:c.69_70insGGCA:p.G25Rfs*14,ENSG00000140398:ENST00000564257:exon2:c.69_70insGGCA:p.G25Rfs*14,ENSG00000140398:ENST00000567005:exon2:c.69_70insGGCA:p.G25Rfs*14,ENSG00000140398:ENST00000568519:exon2:c.69_70insGGCA:p.G25Rfs*14,ENSG00000140398:ENST00000569035:exon2:c.69_70insGGCA:p.G25Rfs*14,ENSG00000140398:ENST00000569506:exon2:c.69_70insGGCA:p.G25Rfs*14,ENSG00000140398:ENST00000564784:exon3:c.69_70insGGCA:p.G25Rfs*14,ENSG00000140398:ENST00000565051:exon3:c.69_70insGGCA:p.G25Rfs*14,ENSG00000140398:ENST00000566752:exon3:c.69_70insGGCA:p.G25Rfs*14,ENSG00000140398:ENST00000567657:exon3:c.69_70insGGCA:p.G25Rfs*14,ENSG00000140398:ENST00000568059:exon3:c.69_70insGGCA:p.G25Rfs*14,ENSG00000140398:ENST00000568881:exon3:c.69_70insGGCA:p.G25Rfs*14,ENSG00000140398:ENST00000566313:exon4:c.69_70insGGCA:p.G25Rfs*14</t>
  </si>
  <si>
    <t xml:space="preserve">0.000108858344700828</t>
  </si>
  <si>
    <t xml:space="preserve">nei like DNA glycosylase 1</t>
  </si>
  <si>
    <t xml:space="preserve">FUNCTION: Involved in base excision repair of DNA damaged by oxidation or by mutagenic agents. Acts as DNA glycosylase that recognizes and removes damaged bases. Has a preference for oxidized pyrimidines, such as thymine glycol, formamidopyrimidine (Fapy) and 5-hydroxyuracil. Has marginal activity towards 8- oxoguanine. Has AP (apurinic/apyrimidinic) lyase activity and introduces nicks in the DNA strand. Cleaves the DNA backbone by beta-delta elimination to generate a single-strand break at the site of the removed base with both 3'- and 5'-phosphates. Has DNA glycosylase/lyase activity towards mismatched uracil and thymine, in particular in U:C and T:C mismatches. Specifically binds 5- hydroxymethylcytosine (5hmC), suggesting that it acts as a specific reader of 5hmC. {ECO:0000269|PubMed:11904416, ECO:0000269|PubMed:12200441, ECO:0000269|PubMed:12509226, ECO:0000269|PubMed:14522990}.; </t>
  </si>
  <si>
    <t xml:space="preserve">19,23</t>
  </si>
  <si>
    <t xml:space="preserve">0.0392828983920439</t>
  </si>
  <si>
    <t xml:space="preserve">S-phase cyclin A-associated protein in the ER</t>
  </si>
  <si>
    <t xml:space="preserve">FUNCTION: CCNA2/CDK2 regulatory protein that transiently maintains CCNA2 in the cytoplasm. {ECO:0000269|PubMed:17698606}.; </t>
  </si>
  <si>
    <t xml:space="preserve">449.60</t>
  </si>
  <si>
    <t xml:space="preserve">11,15</t>
  </si>
  <si>
    <t xml:space="preserve">MAN2A2:uc010boa.3:exon1:c.44delT:p.W16Gfs*28</t>
  </si>
  <si>
    <t xml:space="preserve">3.60787631910875e-09</t>
  </si>
  <si>
    <t xml:space="preserve">mannosidase alpha class 2A member 2</t>
  </si>
  <si>
    <t xml:space="preserve">FUNCTION: Catalyzes the first committed step in the biosynthesis of complex N-glycans. It controls conversion of high mannose to complex N-glycans; the final hydrolytic step in the N-glycan maturation pathway.; </t>
  </si>
  <si>
    <t xml:space="preserve">2373.64</t>
  </si>
  <si>
    <t xml:space="preserve">139</t>
  </si>
  <si>
    <t xml:space="preserve">60,79</t>
  </si>
  <si>
    <t xml:space="preserve">1;4</t>
  </si>
  <si>
    <t xml:space="preserve">2376.02</t>
  </si>
  <si>
    <t xml:space="preserve">198</t>
  </si>
  <si>
    <t xml:space="preserve">30,73,95</t>
  </si>
  <si>
    <t xml:space="preserve">NM_001291858:c.*2413_*2414insA;NM_000875:c.*2413_*2414insA;uc002bul.3:c.*2413_*2414insA;uc010bon.3:c.*2413_*2414insA</t>
  </si>
  <si>
    <t xml:space="preserve">2162.02</t>
  </si>
  <si>
    <t xml:space="preserve">8,73,34</t>
  </si>
  <si>
    <t xml:space="preserve">NM_001291858:c.*5773delT;NM_000875:c.*5773delT;uc002bul.3:c.*5773delT;uc010bon.3:c.*5773delT</t>
  </si>
  <si>
    <t xml:space="preserve">TGAGC</t>
  </si>
  <si>
    <t xml:space="preserve">2403.60</t>
  </si>
  <si>
    <t xml:space="preserve">124</t>
  </si>
  <si>
    <t xml:space="preserve">62,62</t>
  </si>
  <si>
    <t xml:space="preserve">NM_139057:c.*2125_*2121delGCTCA;uc002bvv.1:c.*2125_*2121delGCTCA</t>
  </si>
  <si>
    <t xml:space="preserve">376.64</t>
  </si>
  <si>
    <t xml:space="preserve">10,12</t>
  </si>
  <si>
    <t xml:space="preserve">3.65345577837932e-06</t>
  </si>
  <si>
    <t xml:space="preserve">rhomboid 5 homolog 1 (Drosophila)</t>
  </si>
  <si>
    <t xml:space="preserve">FUNCTION: Rhomboid protease-like protein which has no protease activity but regulates the secretion of several ligands of the epidermal growth factor receptor. Indirectly activates the epidermal growth factor receptor signaling pathway and may thereby regulate sleep, cell survival, proliferation and migration. {ECO:0000269|PubMed:15965977, ECO:0000269|PubMed:18524845, ECO:0000269|PubMed:18832597, ECO:0000269|PubMed:21439629}.; </t>
  </si>
  <si>
    <t xml:space="preserve">799.64</t>
  </si>
  <si>
    <t xml:space="preserve">38,33</t>
  </si>
  <si>
    <t xml:space="preserve">0.999905331991465</t>
  </si>
  <si>
    <t xml:space="preserve">polycystin 1, transient receptor potential channel interacting</t>
  </si>
  <si>
    <t xml:space="preserve">FUNCTION: Involved in renal tubulogenesis (PubMed:12482949). Involved in fluid-flow mechanosensation by the primary cilium in renal epithelium (By similarity). Acts as a regulator of cilium length, together with PKD2 (By similarity). The dynamic control of cilium length is essential in the regulation of mechanotransductive signaling (By similarity). The cilium length response creates a negative feedback loop whereby fluid shear- mediated deflection of the primary cilium, which decreases intracellular cAMP, leads to cilium shortening and thus decreases flow-induced signaling (By similarity). May be an ion-channel regulator. Involved in adhesive protein-protein and protein- carbohydrate interactions. {ECO:0000250|UniProtKB:O08852, ECO:0000269|PubMed:12482949}.; </t>
  </si>
  <si>
    <t xml:space="preserve">DISEASE: Polycystic kidney disease 1 (PKD1) [MIM:173900]: A disorder characterized by renal cysts, liver cysts and intracranial aneurysm. Clinical variability is due to differences in the rate of loss of glomerular filtration, the age of reaching end-stage renal disease and the occurrence of hypertension, symptomatic extrarenal cysts, and subarachnoid hemorrhage from intracranial 'berry' aneurysm. {ECO:0000269|PubMed:10200984, ECO:0000269|PubMed:10364515, ECO:0000269|PubMed:10577909, ECO:0000269|PubMed:10647901, ECO:0000269|PubMed:10729710, ECO:0000269|PubMed:10854095, ECO:0000269|PubMed:10923040, ECO:0000269|PubMed:10987650, ECO:0000269|PubMed:11012875, ECO:0000269|PubMed:11058904, ECO:0000269|PubMed:11115377, ECO:0000269|PubMed:11216660, ECO:0000269|PubMed:11316854, ECO:0000269|PubMed:11558899, ECO:0000269|PubMed:11571556, ECO:0000269|PubMed:11691639, ECO:0000269|PubMed:11773467, ECO:0000269|PubMed:11857740, ECO:0000269|PubMed:11967008, ECO:0000269|PubMed:12007219, ECO:0000269|PubMed:12070253, ECO:0000269|PubMed:12220456, ECO:0000269|PubMed:12842373, ECO:0000269|PubMed:15772804, ECO:0000269|PubMed:18837007, ECO:0000269|PubMed:21115670, ECO:0000269|PubMed:22508176, ECO:0000269|PubMed:8554072, ECO:0000269|PubMed:9199561, ECO:0000269|PubMed:9259200, ECO:0000269|PubMed:9285784, ECO:0000269|PubMed:9521593, ECO:0000269|PubMed:9921908}. Note=The disease is caused by mutations affecting the gene represented in this entry.; </t>
  </si>
  <si>
    <t xml:space="preserve">1424.64</t>
  </si>
  <si>
    <t xml:space="preserve">53,54</t>
  </si>
  <si>
    <t xml:space="preserve">0.460647228032184</t>
  </si>
  <si>
    <t xml:space="preserve">TNF receptor associated factor 7</t>
  </si>
  <si>
    <t xml:space="preserve">FUNCTION: E3 ubiquitin ligase capable of auto-ubiquitination, following phosphorylation by MAP3K3. Potentiates MEKK3-mediated activation of the NF-kappa-B, JUN/AP1 and DDIT3 transcriptional regulators. Induces apoptosis when overexpressed. {ECO:0000269|PubMed:14743216, ECO:0000269|PubMed:15001576}.; </t>
  </si>
  <si>
    <t xml:space="preserve">116.64</t>
  </si>
  <si>
    <t xml:space="preserve">1.62821439778502e-12;7.31151184071541e-12</t>
  </si>
  <si>
    <t xml:space="preserve">CORO7-PAM16 readthrough;coronin 7</t>
  </si>
  <si>
    <t xml:space="preserve">FUNCTION: F-actin regulator involved in anterograde Golgi to endosome transport: upon ubiquitination via 'Lys-33'-linked ubiquitin chains by the BCR(KLHL20) E3 ubiquitin ligase complex, interacts with EPS15 and localizes to the trans-Golgi network, where it promotes actin polymerization, thereby facilitating post- Golgi trafficking. May play a role in the maintenance of the Golgi apparatus morphology. {ECO:0000269|PubMed:16905771, ECO:0000269|PubMed:24768539}.; ;FUNCTION: F-actin regulator involved in anterograde Golgi to endosome transport: upon ubiquitination via 'Lys-33'-linked ubiquitin chains by the BCR(KLHL20) E3 ubiquitin ligase complex, interacts with EPS15 and localizes to the trans-Golgi network, where it promotes actin polymerization, thereby facilitating post- Golgi trafficking. May play a role in the maintenance of the Golgi apparatus morphology. {ECO:0000269|PubMed:16905771, ECO:0000269|PubMed:24768539}.; </t>
  </si>
  <si>
    <t xml:space="preserve">251.64</t>
  </si>
  <si>
    <t xml:space="preserve">4,8</t>
  </si>
  <si>
    <t xml:space="preserve">0.935961018293749</t>
  </si>
  <si>
    <t xml:space="preserve">RNA binding protein, fox-1 homolog (C. elegans) 1</t>
  </si>
  <si>
    <t xml:space="preserve">FUNCTION: RNA-binding protein that regulates alternative splicing events by binding to 5'-UGCAUGU-3' elements. Regulates alternative splicing of tissue-specific exons and of differentially spliced exons during erythropoiesis. {ECO:0000269|PubMed:16537540}.; </t>
  </si>
  <si>
    <t xml:space="preserve">625.64</t>
  </si>
  <si>
    <t xml:space="preserve">39,25</t>
  </si>
  <si>
    <t xml:space="preserve">1.49641187474707e-06</t>
  </si>
  <si>
    <t xml:space="preserve">solute carrier family 5 member 11</t>
  </si>
  <si>
    <t xml:space="preserve">FUNCTION: Involved in the sodium-dependent cotransport of myo- inositol (MI) with a Na(+):MI stoichiometry of 2:1. Exclusively responsible for apical MI transport and absorption in intestine. Also can transport D-chiro-inositol (DCI) but not L-fructose. Exhibits stereospecific cotransport of both D-glucose and D- xylose. May induce apoptosis through the TNF-alpha, PDCD1 pathway. May play a role in the regulation of MI concentration in serum, involving reabsorption in at least the proximal tubule of the kidney. {ECO:0000269|PubMed:15172003}.; </t>
  </si>
  <si>
    <t xml:space="preserve">195.64</t>
  </si>
  <si>
    <t xml:space="preserve">222</t>
  </si>
  <si>
    <t xml:space="preserve">196,26</t>
  </si>
  <si>
    <t xml:space="preserve">2.23675804808239e-09</t>
  </si>
  <si>
    <t xml:space="preserve">sulfotransferase family 1A member 1</t>
  </si>
  <si>
    <t xml:space="preserve">FUNCTION: Sulfotransferase that utilizes 3'-phospho-5'-adenylyl sulfate (PAPS) as sulfonate donor to catalyze the sulfate conjugation of catecholamines, phenolic drugs and neurotransmitters. Has also estrogen sulfotransferase activity. responsible for the sulfonation and activation of minoxidil. Is Mediates the metabolic activation of carcinogenic N- hydroxyarylamines to DNA binding products and could so participate as modulating factor of cancer risk. {ECO:0000269|PubMed:12471039, ECO:0000269|PubMed:16221673}.; </t>
  </si>
  <si>
    <t xml:space="preserve">1517.60</t>
  </si>
  <si>
    <t xml:space="preserve">41,44</t>
  </si>
  <si>
    <t xml:space="preserve">ASPHD1:NM_181718:exon2:c.1009delG:p.E337Rfs*99;ASPHD1:uc002dut.3:exon2:c.1009delG:p.E337Rfs*99;ENSG00000174939:ENST00000308748:exon2:c.1009delG:p.E337Rfs*99,ENSG00000174939:ENST00000414952:exon2:c.1009delG:p.E337Rfs*90,ENSG00000174939:ENST00000566693:exon2:c.1009delG:p.E337Rfs*93,ENSG00000174939:ENST00000483405:exon3:c.166delG:p.E56Rfs*99,ENSG00000174939:ENST00000563177:exon3:c.166delG:p.E56Rfs*51</t>
  </si>
  <si>
    <t xml:space="preserve">0.120035612549071</t>
  </si>
  <si>
    <t xml:space="preserve">aspartate beta-hydroxylase domain containing 1</t>
  </si>
  <si>
    <t xml:space="preserve">805.02</t>
  </si>
  <si>
    <t xml:space="preserve">6,12,27</t>
  </si>
  <si>
    <t xml:space="preserve">NM_001363988:c.*2074delT;NM_001363896:c.*1898delT;NM_001363905:c.*1898delT;NM_001363894:c.*1898delT;NM_001363903:c.*2016delT;NM_001363897:c.*1898delT;NM_001363900:c.*1898delT;NM_001363899:c.*1898delT;NM_001363898:c.*1898delT;NM_001363901:c.*1898delT;NM_001363891:c.*1898delT;NM_001080432:c.*1898delT;uc002ehr.3:c.*1898delT;uc010vha.2:c.*1898delT;uc010cbz.3:c.*1898delT</t>
  </si>
  <si>
    <t xml:space="preserve">0.0113445756239307</t>
  </si>
  <si>
    <t xml:space="preserve">fat mass and obesity associated</t>
  </si>
  <si>
    <t xml:space="preserve">FUNCTION: Dioxygenase that repairs alkylated DNA and RNA by oxidative demethylation. Has highest activity towards single- stranded RNA containing 3-methyluracil, followed by single- stranded DNA containing 3-methylthymine. Has low demethylase activity towards single-stranded DNA containing 1-methyladenine or 3-methylcytosine (PubMed:18775698, PubMed:20376003). Specifically demethylates N(6)-methyladenosine (m6A) RNA, the most prevalent internal modification of messenger RNA (mRNA) in higher eukaryotes (PubMed:22002720, PubMed:26458103). Has no activity towards 1- methylguanine. Has no detectable activity towards double-stranded DNA. Requires molecular oxygen, alpha-ketoglutarate and iron. Contributes to the regulation of the global metabolic rate, energy expenditure and energy homeostasis. Contributes to the regulation of body size and body fat accumulation (PubMed:18775698, PubMed:20376003). In particular, it is involved in the regulation of thermogenesis and the control of adipocyte differentiation into brown or white fat cells (PubMed:26287746). {ECO:0000269|PubMed:18775698, ECO:0000269|PubMed:20376003, ECO:0000269|PubMed:22002720, ECO:0000269|PubMed:26287746, ECO:0000269|PubMed:26458103}.; </t>
  </si>
  <si>
    <t xml:space="preserve">DISEASE: Growth retardation, developmental delay, and facial dysmorphism (GDFD) [MIM:612938]: A severe polymalformation syndrome characterized by postnatal growth retardation, microcephaly, severe psychomotor delay, functional brain deficits and characteristic facial dysmorphism. In some patients, structural brain malformations, cardiac defects, genital anomalies, and cleft palate are observed. Early death occurs by the age of 3 years. {ECO:0000269|PubMed:19559399}. Note=The disease is caused by mutations affecting the gene represented in this entry.; DISEASE: Obesity (OBESITY) [MIM:601665]: A condition characterized by an increase of body weight beyond the limitation of skeletal and physical requirements, as the result of excessive accumulation of body fat. {ECO:0000269|PubMed:26287746}. Note=Disease susceptibility is associated with variations affecting the gene represented in this entry. A pathogenic intronic FTO variation (rs1421085) disrupts an evolutionarily conserved motif for ARID5B binding. Loss of ARID5B binding results in overexpression of two genes distal to FTO, IRX3 and IRX5. IRX3 and IRX5 overexpression shifts pre-adipocytes differentiation from brown to white fat cells, resulting in increased lipid storage and loss of mitochondrial thermogenesis. {ECO:0000269|PubMed:26287746}.; </t>
  </si>
  <si>
    <t xml:space="preserve">3705.60</t>
  </si>
  <si>
    <t xml:space="preserve">259</t>
  </si>
  <si>
    <t xml:space="preserve">139,120</t>
  </si>
  <si>
    <t xml:space="preserve">HYDIN:NM_001270974:exon69:c.11712delT:p.Q3905Rfs*5;HYDIN:uc031qwy.1:exon69:c.11712delT:p.Q3905Rfs*5;ENSG00000157423:ENST00000393567:exon69:c.11712delT:p.Q3905Rfs*5</t>
  </si>
  <si>
    <t xml:space="preserve">HYDIN, axonemal central pair apparatus protein</t>
  </si>
  <si>
    <t xml:space="preserve">FUNCTION: Required for ciliary motility. {ECO:0000250}.; </t>
  </si>
  <si>
    <t xml:space="preserve">DISEASE: Ciliary dyskinesia, primary, 5 (CILD5) [MIM:608647]: An autosomal recessive form of primary dyskinesia,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CILD5 is characterized by early onset of a progressive decline in lung function due to an inability to clear mucus and particles from the airways. Affected individuals have recurrent infections of the sinuses, ears, airways, and lungs. Sperm motility is also decreased. Individuals with CILD5 do not have situs inversus. {ECO:0000269|PubMed:23022101, ECO:0000269|PubMed:25186273}. Note=The disease is caused by mutations affecting the gene represented in this entry.; </t>
  </si>
  <si>
    <t xml:space="preserve">1093.64</t>
  </si>
  <si>
    <t xml:space="preserve">40,38</t>
  </si>
  <si>
    <t xml:space="preserve">NM_001326358:c.*91C&gt;G;NM_199355:c.*91C&gt;G;uc002ffc.4:c.*91C&gt;G</t>
  </si>
  <si>
    <t xml:space="preserve">3.73935058124161e-15</t>
  </si>
  <si>
    <t xml:space="preserve">ADAM metallopeptidase with thrombospondin type 1 motif 18</t>
  </si>
  <si>
    <t xml:space="preserve">DISEASE: Microcornea, myopic chorioretinal atrophy, and telecanthus (MMCAT) [MIM:615458]: A ocular syndrome characterized by microcornea and myopic chorioretinal atrophy. Microcornea is defined by a corneal diameter inferior to 10 mm in both meridians in an otherwise normal eye. In addition to ocular findings, some patients have telecanthus and posteriorly rotated ears. {ECO:0000269|PubMed:23818446}. Note=The disease is caused by mutations affecting the gene represented in this entry.; </t>
  </si>
  <si>
    <t xml:space="preserve">502.02</t>
  </si>
  <si>
    <t xml:space="preserve">1,4,18</t>
  </si>
  <si>
    <t xml:space="preserve">0.0197283428790772</t>
  </si>
  <si>
    <t xml:space="preserve">glycine cleavage system protein H (aminomethyl carrier)</t>
  </si>
  <si>
    <t xml:space="preserve">FUNCTION: The glycine cleavage system catalyzes the degradation of glycine. The H protein (GCSH) shuttles the methylamine group of glycine from the P protein (GLDC) to the T protein (GCST).; </t>
  </si>
  <si>
    <t xml:space="preserve">DISEASE: Non-ketotic hyperglycinemia (NKH) [MIM:605899]: Autosomal recessive disease characterized by accumulation of a large amount of glycine in body fluid and by severe neurological symptoms. Note=The disease is caused by mutations affecting the gene represented in this entry.; </t>
  </si>
  <si>
    <t xml:space="preserve">0.217594377239137</t>
  </si>
  <si>
    <t xml:space="preserve">cadherin 13</t>
  </si>
  <si>
    <t xml:space="preserve">FUNCTION: Cadherins are calcium-dependent cell adhesion proteins. They preferentially interact with themselves in a homophilic manner in connecting cells; cadherins may thus contribute to the sorting of heterogeneous cell types. May act as a negative regulator of neural cell growth. {ECO:0000269|PubMed:10737605}.; </t>
  </si>
  <si>
    <t xml:space="preserve">767.60</t>
  </si>
  <si>
    <t xml:space="preserve">0.535969010144802</t>
  </si>
  <si>
    <t xml:space="preserve">piezo type mechanosensitive ion channel component 1</t>
  </si>
  <si>
    <t xml:space="preserve">FUNCTION: Pore-forming subunit of a mechanosensitive non-specific cation channel (PubMed:23479567, PubMed:23695678). Generates currents characterized by a linear current-voltage relationship that are sensitive to ruthenium red and gadolinium. Plays a key role in epithelial cell adhesion by maintaining integrin activation through R-Ras recruitment to the ER, most probably in its activated state, and subsequent stimulation of calpain signaling (PubMed:20016066). In the kidney, may contribute to the detection of intraluminal pressure changes and to urine flow sensing. Acts as shear-stress sensor that promotes endothelial cell organization and alignment in the direction of blood flow through calpain activation (PubMed:25119035). Plays a key role in blood vessel formation and vascular structure in both development and adult physiology (By similarity). {ECO:0000250|UniProtKB:E2JF22, ECO:0000269|PubMed:20016066, ECO:0000269|PubMed:23479567, ECO:0000269|PubMed:23695678, ECO:0000269|PubMed:25119035}.; </t>
  </si>
  <si>
    <t xml:space="preserve">DISEASE: Dehydrated hereditary stomatocytosis with or without pseudohyperkalemia and/or perinatal edema (DHS) [MIM:194380]: An autosomal dominant hemolytic anemia characterized by primary erythrocyte dehydration. DHS erythrocytes exhibit decreased total cation and potassium content that are not accompanied by a proportional net gain of sodium and water. DHS patients typically exhibit mild to moderate compensated hemolytic anemia, with an increased erythrocyte mean corpuscular hemoglobin concentration and a decreased osmotic fragility, both of which reflect cellular dehydration. Patients may also show perinatal edema and pseudohyperkalemia due to loss of potassium from red cells stored at room temperature. A minor proportion of red cells appear as stomatocytes on blood films. Complications such as splenomegaly and cholelithiasis, resulting from increased red cell trapping in the spleen and elevated bilirubin levels, respectively, may occur. The course of DHS is frequently associated with iron overload, which may lead to hepatosiderosis. {ECO:0000269|PubMed:22529292, ECO:0000269|PubMed:23479567, ECO:0000269|PubMed:23487776, ECO:0000269|PubMed:23581886, ECO:0000269|PubMed:23695678, ECO:0000269|PubMed:23973043}. Note=The disease is caused by mutations affecting the gene represented in this entry. All disease-causing mutations characterized so far produce a gain-of- function phenotype, mutated channels exhibiting increased cation transport in erythroid cells, that could be due to slower channel inactivation rate compared to the wild-type protein.; </t>
  </si>
  <si>
    <t xml:space="preserve">GGGTGAGAGTGTGGATGGGTCTGCAGGTGCGGGTGGGAGTGTGGATGGGTCTCCAGGTGCGGGTGGGAGTGTGGATGGGTCTCCAGGTGCGGGTGAGAGTGTGGATGGGTCTCCAGGTGT</t>
  </si>
  <si>
    <t xml:space="preserve">1125.03</t>
  </si>
  <si>
    <t xml:space="preserve">3,32</t>
  </si>
  <si>
    <t xml:space="preserve">1842.60</t>
  </si>
  <si>
    <t xml:space="preserve">120</t>
  </si>
  <si>
    <t xml:space="preserve">58,62</t>
  </si>
  <si>
    <t xml:space="preserve">NXN:uc002fsb.2:exon5:c.394delA:p.T132Pfs*42</t>
  </si>
  <si>
    <t xml:space="preserve">0.86063738959499</t>
  </si>
  <si>
    <t xml:space="preserve">nucleoredoxin</t>
  </si>
  <si>
    <t xml:space="preserve">FUNCTION: Functions as a redox-dependent negative regulator of the Wnt signaling pathway, possibly by preventing ubiquitination of DVL3 by the BCR(KLHL12) complex. May also function as a transcriptional regulator act as a regulator of protein phosphatase 2A (PP2A) (By similarity). {ECO:0000250}.; </t>
  </si>
  <si>
    <t xml:space="preserve">1125.64</t>
  </si>
  <si>
    <t xml:space="preserve">37,41</t>
  </si>
  <si>
    <t xml:space="preserve">1.69244645255186e-17</t>
  </si>
  <si>
    <t xml:space="preserve">MYB binding protein (P160) 1a</t>
  </si>
  <si>
    <t xml:space="preserve">FUNCTION: May activate or repress transcription via interactions with sequence specific DNA-binding proteins. Repression may be mediated at least in part by histone deacetylase activity (HDAC activity). Acts as a corepressor and in concert with CRY1, represses the transcription of the core circadian clock component PER2. Preferentially binds to dimethylated histone H3 'Lys-9' (H3K9me2) on the PER2 promoter. {ECO:0000250|UniProtKB:Q7TPV4}.; </t>
  </si>
  <si>
    <t xml:space="preserve">672.64</t>
  </si>
  <si>
    <t xml:space="preserve">44,22</t>
  </si>
  <si>
    <t xml:space="preserve">1.43624305354746e-05</t>
  </si>
  <si>
    <t xml:space="preserve">zinc finger MYND-type containing 15</t>
  </si>
  <si>
    <t xml:space="preserve">FUNCTION: Acts as a transcriptional repressor through interaction with histone deacetylases (HDACs). May be important for spermiogenesis. {ECO:0000250|UniProtKB:Q8C0R7, ECO:0000303|PubMed:24431330}.; </t>
  </si>
  <si>
    <t xml:space="preserve">DISEASE: Spermatogenic failure 14 (SPGF14) [MIM:615842]: A disorder resulting in the absence (azoospermia) or reduction (oligozoospermia) of sperm in the semen, leading to male infertility. {ECO:0000269|PubMed:24431330}. Note=The disease is caused by mutations affecting the gene represented in this entry.; </t>
  </si>
  <si>
    <t xml:space="preserve">401.64</t>
  </si>
  <si>
    <t xml:space="preserve">55</t>
  </si>
  <si>
    <t xml:space="preserve">39,16</t>
  </si>
  <si>
    <t xml:space="preserve">1.76208067122363e-18</t>
  </si>
  <si>
    <t xml:space="preserve">ubiquitin specific peptidase 6</t>
  </si>
  <si>
    <t xml:space="preserve">FUNCTION: Deubiquitinase with an ATP-independent isopeptidase activity, cleaving at the C-terminus of the ubiquitin moiety. Catalyzes its own deubiquitination. In vitro, isoform 2, but not isoform 3, shows deubiquitinating activity. Promotes plasma membrane localization of ARF6 and selectively regulates ARF6- dependent endocytic protein trafficking. Is able to initiate tumorigenesis by inducing the production of matrix metalloproteinases following NF-kappa-B activation. {ECO:0000269|PubMed:15509780, ECO:0000269|PubMed:16127172, ECO:0000269|PubMed:20418905}.; </t>
  </si>
  <si>
    <t xml:space="preserve">DISEASE: Note=A chromosomal aberration involving USP6 is a common genetic feature of aneurysmal bone cyst, a benign osseous neoplasm. Translocation t(16;17)(q22;p13) with CDH11. The translocation generates a fusion gene in which the strong CDH11 promoter is fused to the entire USP6 coding sequence, resulting in USP6 transcriptional up-regulation (PubMed:15026324). {ECO:0000269|PubMed:15026324}.; </t>
  </si>
  <si>
    <t xml:space="preserve">CTCT</t>
  </si>
  <si>
    <t xml:space="preserve">47.60</t>
  </si>
  <si>
    <t xml:space="preserve">14,3</t>
  </si>
  <si>
    <t xml:space="preserve">6.34478034828463e-10</t>
  </si>
  <si>
    <t xml:space="preserve">ALOX12 antisense RNA 1;arachidonate 12-lipoxygenase</t>
  </si>
  <si>
    <t xml:space="preserve">FUNCTION: Non-heme iron-containing dioxygenase that catalyzes the stereo-specific peroxidation of free and esterified polyunsaturated fatty acids generating a spectrum of bioactive lipid mediators. Mainly converts arachidonic acid to (12S)- hydroperoxyeicosatetraenoic acid/(12S)-HPETE but can also metabolize linoleic acid. Has a dual activity since it also converts leukotriene A4/LTA4 into both the bioactive lipoxin A4/LXA4 and lipoxin B4/LXB4. Through the production of specific bioactive lipids like (12S)-HPETE it regulates different biological processes including platelet activation. It also probably positively regulates angiogenesis through regulation of the expression of the vascular endothelial growth factor. Plays a role in apoptotic process, promoting the survival of vascular smooth muscle cells for instance. May also play a role in the control of cell migration and proliferation. {ECO:0000269|PubMed:16638750, ECO:0000269|PubMed:22237009, ECO:0000269|PubMed:23578768, ECO:0000269|PubMed:8250832, ECO:0000269|PubMed:9751607}.; </t>
  </si>
  <si>
    <t xml:space="preserve">DISEASE: Esophageal cancer (ESCR) [MIM:133239]: A malignancy of the esophagus. The most common types are esophageal squamous cell carcinoma and adenocarcinoma. Cancer of the esophagus remains a devastating disease because it is usually not detected until it has progressed to an advanced incurable stage. {ECO:0000269|PubMed:17460548}. Note=Disease susceptibility may be associated with variations affecting the gene represented in this entry. Gln at position 261 may confer interindividual susceptibility to esophageal cancer (PubMed:17460548). {ECO:0000269|PubMed:17460548}.; DISEASE: Colorectal cancer (CRC) [MIM:114500]: A complex disease characterized by malignant lesions arising from the inner wall of the large intestine (the colon) and the rectum. Genetic alterations are often associated with progression from premalignant lesion (adenoma) to invasive adenocarcinoma. Risk factors for cancer of the colon and rectum include colon polyps, long-standing ulcerative colitis, and genetic family history. {ECO:0000269|PubMed:17151091}. Note=Disease susceptibility may be associated with variations affecting the gene represented in this entry. Gln at position 261 may confer interindividual susceptibility to colorectal cancer (PubMed:17460548). {ECO:0000269|PubMed:17460548}.; </t>
  </si>
  <si>
    <t xml:space="preserve">328.64</t>
  </si>
  <si>
    <t xml:space="preserve">19,13</t>
  </si>
  <si>
    <t xml:space="preserve">0.99395962249096</t>
  </si>
  <si>
    <t xml:space="preserve">calcium voltage-gated channel auxiliary subunit beta 1</t>
  </si>
  <si>
    <t xml:space="preserve">1807.60</t>
  </si>
  <si>
    <t xml:space="preserve">61,48</t>
  </si>
  <si>
    <t xml:space="preserve">IFI35:NM_001330230:exon5:c.533_534del:p.V179Hfs*6,IFI35:NM_005533:exon5:c.539_540del:p.V181Hfs*6;IFI35:uc021txx.1:exon5:c.539_540del:p.V181Hfs*6;ENSG00000068079:ENST00000415816:exon5:c.533_534del:p.V179Hfs*6,ENSG00000068079:ENST00000438323:exon5:c.539_540del:p.V181Hfs*6</t>
  </si>
  <si>
    <t xml:space="preserve">5.69697011611625e-08</t>
  </si>
  <si>
    <t xml:space="preserve">interferon induced protein 35</t>
  </si>
  <si>
    <t xml:space="preserve">FUNCTION: Not yet known.; </t>
  </si>
  <si>
    <t xml:space="preserve">2416.64</t>
  </si>
  <si>
    <t xml:space="preserve">156</t>
  </si>
  <si>
    <t xml:space="preserve">67,89</t>
  </si>
  <si>
    <t xml:space="preserve">0.955238890019342</t>
  </si>
  <si>
    <t xml:space="preserve">ataxin 7 like 3</t>
  </si>
  <si>
    <t xml:space="preserve">FUNCTION: Component of the transcription regulatory histone acetylation (HAT) complex SAGA, a multiprotein complex that activates transcription by remodeling chromatin and mediating histone acetylation and deubiquitination. Within the SAGA complex, participates in a subcomplex that specifically deubiquitinates both histones H2A and H2B. The SAGA complex is recruited to specific gene promoters by activators such as MYC, where it is required for transcription. Required for nuclear receptor-mediated transactivation. Within the complex, it is required to recruit USP22 and ENY2 into the SAGA complex. {ECO:0000255|HAMAP- Rule:MF_03047, ECO:0000269|PubMed:18206972, ECO:0000269|PubMed:21746879}.; </t>
  </si>
  <si>
    <t xml:space="preserve">72</t>
  </si>
  <si>
    <t xml:space="preserve">63,9</t>
  </si>
  <si>
    <t xml:space="preserve">0.999905920388338</t>
  </si>
  <si>
    <t xml:space="preserve">aminopeptidase puromycin sensitive</t>
  </si>
  <si>
    <t xml:space="preserve">FUNCTION: Aminopeptidase with broad substrate specificity for several peptides. Involved in proteolytic events essential for cell growth and viability. May act as regulator of neuropeptide activity. Plays a role in the antigen-processing pathway for MHC class I molecules. Involved in the N-terminal trimming of cytotoxic T-cell epitope precursors. Digests the poly-Q peptides found in many cellular proteins. Digests tau from normal brain more efficiently than tau from Alzheimer disease brain. {ECO:0000269|PubMed:10978616, ECO:0000269|PubMed:11062501, ECO:0000269|PubMed:17154549, ECO:0000269|PubMed:17318184, ECO:0000269|PubMed:19917696}.; </t>
  </si>
  <si>
    <t xml:space="preserve">Low Mappability</t>
  </si>
  <si>
    <t xml:space="preserve">171.64</t>
  </si>
  <si>
    <t xml:space="preserve">3,7</t>
  </si>
  <si>
    <t xml:space="preserve">0.999999805897045</t>
  </si>
  <si>
    <t xml:space="preserve">tousled like kinase 2</t>
  </si>
  <si>
    <t xml:space="preserve">FUNCTION: Serine/threonine-protein kinase involved in the process of chromatin assembly and probably also DNA replication, transcription, repair, and chromosome segregation. Phosphorylates the chromatin assembly factors ASF1A AND ASF1B. Phosphorylation of ASF1A prevents its proteasome-mediated degradation, thereby enhancing chromatin assembly. Negative regulator of amino acid starvation-induced autophagy. {ECO:0000269|PubMed:10523312, ECO:0000269|PubMed:11470414, ECO:0000269|PubMed:12660173, ECO:0000269|PubMed:12955071, ECO:0000269|PubMed:20016786, ECO:0000269|PubMed:22354037, ECO:0000269|PubMed:9427565}.; </t>
  </si>
  <si>
    <t xml:space="preserve">CTCCCAC</t>
  </si>
  <si>
    <t xml:space="preserve">672.02</t>
  </si>
  <si>
    <t xml:space="preserve">0,2,5</t>
  </si>
  <si>
    <t xml:space="preserve">UTR3;splicing</t>
  </si>
  <si>
    <t xml:space="preserve">NM_138619:c.*349_*350insGTGGGAG;NM_014001:c.*349_*350insGTGGGAG;NM_001172703:c.*349_*350insGTGGGAG;NM_001291641:c.*349_*350insGTGGGAG;NM_001291642:c.*349_*350insGTGGGAG;uc002jnk.2:exon18:c.2304+2-&gt;GTGGGAG;uc002jnk.2:exon18:UTR3;uc002jni.2:exon17:c.2520+2-&gt;GTGGGAG;uc002jni.2:exon17:UTR3;uc002jnj.2:exon16:c.2421+2-&gt;GTGGGAG;uc002jnj.2:exon16:UTR3;uc010wry.2:exon17:c.2304+2-&gt;GTGGGAG;uc010wry.2:exon17:UTR3;ENST00000245541:c.*349_*350insGTGGGAG;ENST00000584978:c.*2354_*2355insGTGGGAG;ENST00000537584:c.*2480_*2481insGTGGGAG;ENST00000351904:c.*349_*350insGTGGGAG</t>
  </si>
  <si>
    <t xml:space="preserve">0.505243695718199</t>
  </si>
  <si>
    <t xml:space="preserve">golgi-associated, gamma adaptin ear containing, ARF binding protein 3</t>
  </si>
  <si>
    <t xml:space="preserve">FUNCTION: Plays a role in protein sorting and trafficking between the trans-Golgi network (TGN) and endosomes. Mediates the ARF- dependent recruitment of clathrin to the TGN and binds ubiquitinated proteins and membrane cargo molecules with a cytosolic acidic cluster-dileucine (AC-LL) motif. {ECO:0000269|PubMed:11301005}.; </t>
  </si>
  <si>
    <t xml:space="preserve">360.64</t>
  </si>
  <si>
    <t xml:space="preserve">2,10</t>
  </si>
  <si>
    <t xml:space="preserve">0.000651392901677263</t>
  </si>
  <si>
    <t xml:space="preserve">exocyst complex component 7</t>
  </si>
  <si>
    <t xml:space="preserve">FUNCTION: Component of the exocyst complex involved in the docking of exocytic vesicles with fusion sites on the plasma membrane. In adipocytes, plays a crucial role in targeting SLC2A4 vesicle to the plasma membrane in response to insulin, perhaps directing the vesicle to the precise site of fusion (By similarity). {ECO:0000250}.; </t>
  </si>
  <si>
    <t xml:space="preserve">821.64</t>
  </si>
  <si>
    <t xml:space="preserve">53</t>
  </si>
  <si>
    <t xml:space="preserve">27,26</t>
  </si>
  <si>
    <t xml:space="preserve">4;4;4</t>
  </si>
  <si>
    <t xml:space="preserve">1.67778352788526e-29</t>
  </si>
  <si>
    <t xml:space="preserve">ring finger protein 213</t>
  </si>
  <si>
    <t xml:space="preserve">FUNCTION: Probable E3 ubiquitin-protein ligase that may play a role in angiogenesis. May also have an ATPase activity.; </t>
  </si>
  <si>
    <t xml:space="preserve">DISEASE: Moyamoya disease 2 (MYMY2) [MIM:607151]: A progressive cerebral angiopathy characterized by bilateral intracranial carotid artery stenosis and telangiectatic vessels in the region of the basal ganglia. The abnormal vessels resemble a 'puff of smoke' (moyamoya) on cerebral angiogram. Affected individuals can develop transient ischemic attacks and/or cerebral infarction, and rupture of the collateral vessels can cause intracranial hemorrhage. Hemiplegia of sudden onset and epileptic seizures constitute the prevailing presentation in childhood, while subarachnoid bleeding occurs more frequently in adults. {ECO:0000269|PubMed:21048783, ECO:0000269|PubMed:21799892}. Note=Disease susceptibility is associated with variations affecting the gene represented in this entry.; DISEASE: Note=A chromosomal aberration involving ALO17 is associated with anaplastic large-cell lymphoma (ALCL). Translocation t(2;17)(p23;q25) with ALK.; </t>
  </si>
  <si>
    <t xml:space="preserve">163.64</t>
  </si>
  <si>
    <t xml:space="preserve">12,6</t>
  </si>
  <si>
    <t xml:space="preserve">138.64</t>
  </si>
  <si>
    <t xml:space="preserve">8,5</t>
  </si>
  <si>
    <t xml:space="preserve">798.60</t>
  </si>
  <si>
    <t xml:space="preserve">54,33</t>
  </si>
  <si>
    <t xml:space="preserve">chr18</t>
  </si>
  <si>
    <t xml:space="preserve">AAA</t>
  </si>
  <si>
    <t xml:space="preserve">1280.02</t>
  </si>
  <si>
    <t xml:space="preserve">0,14,23</t>
  </si>
  <si>
    <t xml:space="preserve">0.673512974845848</t>
  </si>
  <si>
    <t xml:space="preserve">lipin 2</t>
  </si>
  <si>
    <t xml:space="preserve">FUNCTION: Plays important roles in controlling the metabolism of fatty acids at differents levels. Acts as a magnesium-dependent phosphatidate phosphatase enzyme which catalyzes the conversion of phosphatidic acid to diacylglycerol during triglyceride, phosphatidylcholine and phosphatidylethanolamine biosynthesis in the reticulum endoplasmic membrane. Acts also as a nuclear transcriptional coactivator for PPARGC1A to modulate lipid metabolism (By similarity). {ECO:0000250}.; </t>
  </si>
  <si>
    <t xml:space="preserve">DISEASE: Majeed syndrome (MAJEEDS) [MIM:609628]: An autosomal recessive syndrome characterized by chronic recurrent multifocal osteomyelitis that is of early onset with a lifelong course, congenital dyserythropoietic anemia that presents as hypochromic, microcytic anemia during the first year of life and ranges from mild to transfusion-dependent, and transient inflammatory dermatosis, often manifesting as Sweet syndrome (neutrophilic skin infiltration). {ECO:0000269|PubMed:15994876}. Note=The disease is caused by mutations affecting the gene represented in this entry.; </t>
  </si>
  <si>
    <t xml:space="preserve">145.60</t>
  </si>
  <si>
    <t xml:space="preserve">16,7</t>
  </si>
  <si>
    <t xml:space="preserve">2951.64</t>
  </si>
  <si>
    <t xml:space="preserve">217</t>
  </si>
  <si>
    <t xml:space="preserve">103,114</t>
  </si>
  <si>
    <t xml:space="preserve">0.603955312622787</t>
  </si>
  <si>
    <t xml:space="preserve">piezo type mechanosensitive ion channel component 2</t>
  </si>
  <si>
    <t xml:space="preserve">FUNCTION: Component of a mechanosensitive channel required for rapidly adapting mechanically activated (MA) currents. Required for Merkel-cell mechanotransduction. Plays a major role in light- touch mechanosensation. {ECO:0000250|UniProtKB:Q8CD54}.; </t>
  </si>
  <si>
    <t xml:space="preserve">DISEASE: Arthrogryposis, distal, 5 (DA5) [MIM:108145]: A form of distal arthrogryposis, a disease characterized by congenital joint contractures that mainly involve two or more distal parts of the limbs, in the absence of a primary neurological or muscle disease. DA5 features include ocular abnormalities, typically ptosis, ophthalmoplegia and/or strabismus, in addition to contractures of the skeletal muscles. Some patients have pulmonary hypertension as a result of restrictive lung disease. {ECO:0000269|PubMed:23487782}. Note=The disease is caused by mutations affecting the gene represented in this entry.; DISEASE: Arthrogryposis, distal, 3 (DA3) [MIM:114300]: A form of distal arthrogryposis, a disease characterized by congenital joint contractures that mainly involve two or more distal parts of the limbs, in the absence of a primary neurological or muscle disease. DA3 features include short stature and cleft palate. {ECO:0000269|PubMed:24726473}. Note=The disease is caused by mutations affecting the gene represented in this entry.; DISEASE: Marden-Walker syndrome (MWKS) [MIM:248700]: A syndrome characterized by a mask-like face with blepharophimosis, micrognathia, cleft or high-arched palate, low-set ears, congenital joint contractures, kyphoscoliosis, pectus excavatum or carinatum, and arachnodactyly. Additional features include decreased muscular mass, failure to thrive, renal anomalies, hypoplastic corpus callosum, cerebellar vermis hypoplasia, enlarged cisterna magna, and psychomotor retardation. {ECO:0000269|PubMed:24726473}. Note=The disease is caused by mutations affecting the gene represented in this entry.; </t>
  </si>
  <si>
    <t xml:space="preserve">1870.64</t>
  </si>
  <si>
    <t xml:space="preserve">173</t>
  </si>
  <si>
    <t xml:space="preserve">100,73</t>
  </si>
  <si>
    <t xml:space="preserve">uc002ldz.3:c.*1671G&gt;A;uc002lea.2:c.*1671G&gt;A;uc002leb.2:c.*1671G&gt;A</t>
  </si>
  <si>
    <t xml:space="preserve">4;4</t>
  </si>
  <si>
    <t xml:space="preserve">5.4231747689238e-10</t>
  </si>
  <si>
    <t xml:space="preserve">myosin VB;small nucleolar RNA host gene 22</t>
  </si>
  <si>
    <t xml:space="preserve">FUNCTION: May be involved in vesicular trafficking via its association with the CART complex. The CART complex is necessary for efficient transferrin receptor recycling but not for EGFR degradation. Required in a complex with RAB11A and RAB11FIP2 for the transport of NPC1L1 to the plasma membrane. Together with RAB11A participates in CFTR trafficking to the plasma membrane and TF (transferrin) recycling in nonpolarized cells. Together with RAB11A and RAB8A participates in epithelial cell polarization. Together with RAB25 regulates transcytosis. {ECO:0000269|PubMed:21206382, ECO:0000269|PubMed:21282656}.; </t>
  </si>
  <si>
    <t xml:space="preserve">DISEASE: Diarrhea 2, with microvillus atrophy (DIAR2) [MIM:251850]: A disease characterized by onset of intractable life-threatening watery diarrhea during infancy. Two forms are recognized: early-onset microvillus inclusion disease with diarrhea beginning in the neonatal period, and late-onset, with first symptoms appearing after 3 or 4 months of life. {ECO:0000269|PubMed:18724368, ECO:0000269|PubMed:19006234, ECO:0000269|PubMed:20186687, ECO:0000269|PubMed:21206382, ECO:0000269|PubMed:24138727, ECO:0000269|PubMed:24892806}. Note=The disease is caused by mutations affecting the gene represented in this entry.; </t>
  </si>
  <si>
    <t xml:space="preserve">ATT</t>
  </si>
  <si>
    <t xml:space="preserve">198.60</t>
  </si>
  <si>
    <t xml:space="preserve">67</t>
  </si>
  <si>
    <t xml:space="preserve">57,10</t>
  </si>
  <si>
    <t xml:space="preserve">uc002ldz.3:c.*253_*254insAAT;uc002lea.2:c.*253_*254insAAT;uc002leb.2:c.*253_*254insAAT</t>
  </si>
  <si>
    <t xml:space="preserve">254.64</t>
  </si>
  <si>
    <t xml:space="preserve">80</t>
  </si>
  <si>
    <t xml:space="preserve">68,12</t>
  </si>
  <si>
    <t xml:space="preserve">uc002ldz.3:c.*242C&gt;A;uc002lea.2:c.*242C&gt;A;uc002leb.2:c.*242C&gt;A</t>
  </si>
  <si>
    <t xml:space="preserve">313.64</t>
  </si>
  <si>
    <t xml:space="preserve">151</t>
  </si>
  <si>
    <t xml:space="preserve">132,19</t>
  </si>
  <si>
    <t xml:space="preserve">uc002ldz.3:c.*56T&gt;G;uc002lea.2:c.*56T&gt;G;uc002leb.2:c.*56T&gt;G</t>
  </si>
  <si>
    <t xml:space="preserve">31.64</t>
  </si>
  <si>
    <t xml:space="preserve">0.99999895681268</t>
  </si>
  <si>
    <t xml:space="preserve">DCC netrin 1 receptor</t>
  </si>
  <si>
    <t xml:space="preserve">FUNCTION: Receptor for netrin required for axon guidance. Mediates axon attraction of neuronal growth cones in the developing nervous system upon ligand binding. Its association with UNC5 proteins may trigger signaling for axon repulsion. It also acts as a dependence receptor required for apoptosis induction when not associated with netrin ligand. Implicated as a tumor suppressor gene. {ECO:0000269|PubMed:8187090, ECO:0000269|PubMed:8861902}.; </t>
  </si>
  <si>
    <t xml:space="preserve">DISEASE: Mirror movements 1 (MRMV1) [MIM:157600]: A disorder characterized by contralateral involuntary movements that mirror voluntary ones. While mirror movements are occasionally found in young children, persistence beyond the age of 10 is abnormal. Mirror movements occur more commonly in the upper extremities. {ECO:0000269|PubMed:20431009}. Note=The disease is caused by mutations affecting the gene represented in this entry.; </t>
  </si>
  <si>
    <t xml:space="preserve">796.64</t>
  </si>
  <si>
    <t xml:space="preserve">36,28</t>
  </si>
  <si>
    <t xml:space="preserve">6.26724483578838e-05</t>
  </si>
  <si>
    <t xml:space="preserve">serpin peptidase inhibitor, clade B (ovalbumin), member 10</t>
  </si>
  <si>
    <t xml:space="preserve">FUNCTION: Protease inhibitor that may play a role in the regulation of protease activities during hematopoiesis and apoptosis induced by TNF. May regulate protease activities in the cytoplasm and in the nucleus. {ECO:0000269|PubMed:10871600, ECO:0000269|PubMed:7592909}.; </t>
  </si>
  <si>
    <t xml:space="preserve">917.64</t>
  </si>
  <si>
    <t xml:space="preserve">54</t>
  </si>
  <si>
    <t xml:space="preserve">22,32</t>
  </si>
  <si>
    <t xml:space="preserve">NM_001363602:c.*39C&gt;T</t>
  </si>
  <si>
    <t xml:space="preserve">0.750835828529347</t>
  </si>
  <si>
    <t xml:space="preserve">NADH:ubiquinone oxidoreductase core subunit S7</t>
  </si>
  <si>
    <t xml:space="preserve">FUNCTION: Core subunit of the mitochondrial membrane respiratory chain NADH dehydrogenase (Complex I) that is believed to belong to the minimal assembly required for catalysis. Complex I functions in the transfer of electrons from NADH to the respiratory chain. The immediate electron acceptor for the enzyme is believed to be ubiquinone (By similarity). {ECO:0000250}.; </t>
  </si>
  <si>
    <t xml:space="preserve">DISEASE: Leigh syndrome (LS) [MIM:256000]: An early-onset progressive neurodegenerative disorder characterized by the presence of focal, bilateral lesions in one or more areas of the central nervous system including the brainstem, thalamus, basal ganglia, cerebellum and spinal cord. Clinical features depend on which areas of the central nervous system are involved and include subacute onset of psychomotor retardation, hypotonia, ataxia, weakness, vision loss, eye movement abnormalities, seizures, and dysphagia. {ECO:0000269|PubMed:10360771}. Note=The disease is caused by mutations affecting the gene represented in this entry.; DISEASE: Mitochondrial complex I deficiency (MT-C1D) [MIM:252010]: A disorder of the mitochondrial respiratory chain that causes a wide range of clinical manifestations from lethal neonatal disease to adult-onset neurodegenerative disorders. Phenotypes include macrocephaly with progressive leukodystrophy, non-specific encephalopathy, cardiomyopathy, myopathy, liver disease, Leigh syndrome, Leber hereditary optic neuropathy, and some forms of Parkinson disease. {ECO:0000269|PubMed:10330338}. Note=The disease is caused by mutations affecting the gene represented in this entry.; </t>
  </si>
  <si>
    <t xml:space="preserve">636.64</t>
  </si>
  <si>
    <t xml:space="preserve">16,21</t>
  </si>
  <si>
    <t xml:space="preserve">0.999114700689224</t>
  </si>
  <si>
    <t xml:space="preserve">dipeptidyl peptidase 9</t>
  </si>
  <si>
    <t xml:space="preserve">FUNCTION: Dipeptidyl peptidase that cleaves off N-terminal dipeptides from proteins having a Pro or Ala residue at position 2.; </t>
  </si>
  <si>
    <t xml:space="preserve">137.64</t>
  </si>
  <si>
    <t xml:space="preserve">13,5</t>
  </si>
  <si>
    <t xml:space="preserve">0.999905044102182</t>
  </si>
  <si>
    <t xml:space="preserve">RAN binding protein 3</t>
  </si>
  <si>
    <t xml:space="preserve">FUNCTION: Acts as a cofactor for XPO1/CRM1-mediated nuclear export, perhaps as export complex scaffolding protein. Bound to XPO1/CRM1, stabilizes the XPO1/CRM1-cargo interaction. In the absence of Ran-bound GTP prevents binding of XPO1/CRM1 to the nuclear pore complex. Binds to CHC1/RCC1 and increases the guanine nucleotide exchange activity of CHC1/RCC1. Recruits XPO1/CRM1 to CHC1/RCC1 in a Ran-dependent manner. Negative regulator of TGF- beta signaling through interaction with the R-SMAD proteins, SMAD2 and SMAD3, and mediating their nuclear export. {ECO:0000269|PubMed:11425870, ECO:0000269|PubMed:11571268, ECO:0000269|PubMed:11932251, ECO:0000269|PubMed:19289081, ECO:0000269|PubMed:9637251}.; </t>
  </si>
  <si>
    <t xml:space="preserve">2614.64</t>
  </si>
  <si>
    <t xml:space="preserve">250</t>
  </si>
  <si>
    <t xml:space="preserve">175,75</t>
  </si>
  <si>
    <t xml:space="preserve">mucin 16, cell surface associated</t>
  </si>
  <si>
    <t xml:space="preserve">FUNCTION: Thought to provide a protective, lubricating barrier against particles and infectious agents at mucosal surfaces. {ECO:0000250}.; </t>
  </si>
  <si>
    <t xml:space="preserve">2015.60</t>
  </si>
  <si>
    <t xml:space="preserve">88</t>
  </si>
  <si>
    <t xml:space="preserve">29,59</t>
  </si>
  <si>
    <t xml:space="preserve">UTR5;exonic</t>
  </si>
  <si>
    <t xml:space="preserve">NM_001348163:c.-17707_-17706insA;ZNF788:uc002mtc.1:exon2:c.10dupA:p.M4Nfs*7;ENSG00000214189:ENST00000596883:exon2:c.10dupA:p.M4Nfs*7</t>
  </si>
  <si>
    <t xml:space="preserve">0.0529943896875062</t>
  </si>
  <si>
    <t xml:space="preserve">zinc finger family member 788</t>
  </si>
  <si>
    <t xml:space="preserve">671.64</t>
  </si>
  <si>
    <t xml:space="preserve">19,21</t>
  </si>
  <si>
    <t xml:space="preserve">2273.64</t>
  </si>
  <si>
    <t xml:space="preserve">106</t>
  </si>
  <si>
    <t xml:space="preserve">47,59</t>
  </si>
  <si>
    <t xml:space="preserve">0.00261885555437633</t>
  </si>
  <si>
    <t xml:space="preserve">C-type lectin domain family 17 member A</t>
  </si>
  <si>
    <t xml:space="preserve">FUNCTION: Cell surface receptor which may be involved in carbohydrate-mediated communication between cells in the germinal center. Binds glycans with terminal alpha-linked mannose or fucose residues. {ECO:0000269|PubMed:19419970}.; </t>
  </si>
  <si>
    <t xml:space="preserve">589.64</t>
  </si>
  <si>
    <t xml:space="preserve">24,22</t>
  </si>
  <si>
    <t xml:space="preserve">0.014507135033171</t>
  </si>
  <si>
    <t xml:space="preserve">peptidase D</t>
  </si>
  <si>
    <t xml:space="preserve">FUNCTION: Splits dipeptides with a prolyl or hydroxyprolyl residue in the C-terminal position. Plays an important role in collagen metabolism because the high level of iminoacids in collagen.; </t>
  </si>
  <si>
    <t xml:space="preserve">DISEASE: Prolidase deficiency (PD) [MIM:170100]: A multisystem disorder associated with massive iminodipeptiduria and lack of or reduced prolidase activity in erythrocytes, leukocytes, or cultured fibroblasts. Clinical features include skin ulcers, developmental delay, recurrent infections, and a characteristic facies. {ECO:0000269|PubMed:12384772, ECO:0000269|PubMed:2365824, ECO:0000269|PubMed:8198124, ECO:0000269|PubMed:8900231}. Note=The disease is caused by mutations affecting the gene represented in this entry.; </t>
  </si>
  <si>
    <t xml:space="preserve">715.64</t>
  </si>
  <si>
    <t xml:space="preserve">63</t>
  </si>
  <si>
    <t xml:space="preserve">36,27</t>
  </si>
  <si>
    <t xml:space="preserve">0.000675653451540748</t>
  </si>
  <si>
    <t xml:space="preserve">secretoglobin family 1B member 2, pseudogene;secretoglobin family 2B member 2</t>
  </si>
  <si>
    <t xml:space="preserve">1060.64</t>
  </si>
  <si>
    <t xml:space="preserve">30,41</t>
  </si>
  <si>
    <t xml:space="preserve">NM_021232:exon5:c.825+1G&gt;T;uc002obx.1:exon5:c.825+1G&gt;T;ENST00000301175:exon5:c.825+1G&gt;T</t>
  </si>
  <si>
    <t xml:space="preserve">7.20821354097691e-12</t>
  </si>
  <si>
    <t xml:space="preserve">proline dehydrogenase (oxidase) 2</t>
  </si>
  <si>
    <t xml:space="preserve">FUNCTION: Converts proline to delta-1-pyrroline-5-carboxylate. {ECO:0000305}.; </t>
  </si>
  <si>
    <t xml:space="preserve">AT</t>
  </si>
  <si>
    <t xml:space="preserve">3501.60</t>
  </si>
  <si>
    <t xml:space="preserve">195</t>
  </si>
  <si>
    <t xml:space="preserve">104,91</t>
  </si>
  <si>
    <t xml:space="preserve">ZNF227:NM_001289170:exon4:c.2089_2090del:p.I697Mfs*2,ZNF227:NM_001289171:exon4:c.2089_2090del:p.I697Mfs*2,ZNF227:NM_001289172:exon4:c.2035_2036del:p.I679Mfs*2,ZNF227:NM_001289168:exon5:c.2173_2174del:p.I725Mfs*2,ZNF227:NM_001289169:exon5:c.2173_2174del:p.I725Mfs*2,ZNF227:NM_001289173:exon5:c.2242_2243del:p.I748Mfs*2,ZNF227:NM_001289166:exon6:c.2326_2327del:p.I776Mfs*2,ZNF227:NM_001289167:exon6:c.2173_2174del:p.I725Mfs*2,ZNF227:NM_182490:exon6:c.2326_2327del:p.I776Mfs*2;ZNF227:uc002oyw.3:exon4:c.2242_2243del:p.I748Mfs*2,ZNF227:uc010ejh.3:exon4:c.2305_2306del:p.I769Mfs*2,ZNF227:uc010xww.2:exon4:c.2089_2090del:p.I697Mfs*2,ZNF227:uc010xwv.2:exon5:c.2173_2174del:p.I725Mfs*2,ZNF227:uc002oyu.3:exon6:c.2326_2327del:p.I776Mfs*2,ZNF227:uc002oyv.3:exon6:c.2326_2327del:p.I776Mfs*2,ZNF227:uc010xwu.2:exon6:c.2173_2174del:p.I725Mfs*2;ENSG00000131115:ENST00000391961:exon4:c.2173_2174del:p.I725Mfs*2,ENSG00000131115:ENST00000589005:exon5:c.2173_2174del:p.I725Mfs*2,ENSG00000131115:ENST00000313040:exon6:c.2326_2327del:p.I776Mfs*2</t>
  </si>
  <si>
    <t xml:space="preserve">1.69159989152872e-05</t>
  </si>
  <si>
    <t xml:space="preserve">zinc finger protein 227</t>
  </si>
  <si>
    <t xml:space="preserve">CAGCAGCAGCAGCAGCAG</t>
  </si>
  <si>
    <t xml:space="preserve">828.02</t>
  </si>
  <si>
    <t xml:space="preserve">0,6,18</t>
  </si>
  <si>
    <t xml:space="preserve">uc021uwb.1:c.*249_*232delCTGCTGCTGCTGCTGCTG;uc010xxs.1:c.*249_*232delCTGCTGCTGCTGCTGCTG;uc002pdd.1:c.*256_*239delCTGCTGCTGCTGCTGCTG;uc002pde.1:c.*249_*232delCTGCTGCTGCTGCTGCTG;uc002pdg.1:c.*249_*232delCTGCTGCTGCTGCTGCTG;uc002pdf.1:c.*256_*239delCTGCTGCTGCTGCTGCTG;uc002pdh.1:c.*256_*239delCTGCTGCTGCTGCTGCTG;uc002pdi.1:c.*256_*239delCTGCTGCTGCTGCTGCTG;uc010xxt.1:c.*401_*384delCTGCTGCTGCTGCTGCTG</t>
  </si>
  <si>
    <t xml:space="preserve">0.0330811788641306</t>
  </si>
  <si>
    <t xml:space="preserve">dystrophia myotonica protein kinase</t>
  </si>
  <si>
    <t xml:space="preserve">FUNCTION: Non-receptor serine/threonine protein kinase which is necessary for the maintenance of skeletal muscle structure and function. May play a role in myocyte differentiation and survival by regulating the integrity of the nuclear envelope and the expression of muscle-specific genes. May also phosphorylate PPP1R12A and inhibit the myosin phosphatase activity to regulate myosin phosphorylation. Also critical to the modulation of cardiac contractility and to the maintenance of proper cardiac conduction activity probably through the regulation of cellular calcium homeostasis. Phosphorylates PLN, a regulator of calcium pumps and may regulate sarcoplasmic reticulum calcium uptake in myocytes. May also phosphorylate FXYD1/PLM which is able to induce chloride currents. May also play a role in synaptic plasticity. {ECO:0000269|PubMed:10811636, ECO:0000269|PubMed:10913253, ECO:0000269|PubMed:11287000, ECO:0000269|PubMed:15598648, ECO:0000269|PubMed:21457715, ECO:0000269|PubMed:21949239}.; </t>
  </si>
  <si>
    <t xml:space="preserve">DISEASE: Dystrophia myotonica 1 (DM1) [MIM:160900]: A muscular disorder characterized by myotonia, muscle wasting in the distal extremities, cataract, hypogonadism, defective endocrine functions, male baldness and cardiac arrhythmias. {ECO:0000269|PubMed:1302022, ECO:0000269|PubMed:1310900, ECO:0000269|PubMed:1546326, ECO:0000269|PubMed:19514047}. Note=The disease is caused by mutations affecting the gene represented in this entry. The causative mutation is a CTG expansion in the 3'- UTR of the DMPK gene. A length exceeding 50 CTG repeats is pathogenic, while normal individuals have 5 to 37 repeats. Intermediate alleles with 35-49 triplets are not disease-causing but show instability in intergenerational transmissions. Disease severity varies with the number of repeats: mildly affected persons have 50 to 150 repeats, patients with classic DM have 100 to 1,000 repeats, and those with congenital onset can have more than 2,000 repeats. {ECO:0000269|PubMed:1310900, ECO:0000269|PubMed:19514047}.; </t>
  </si>
  <si>
    <t xml:space="preserve">474.64</t>
  </si>
  <si>
    <t xml:space="preserve">0.999999772424525</t>
  </si>
  <si>
    <t xml:space="preserve">zinc finger CCCH-type containing 4</t>
  </si>
  <si>
    <t xml:space="preserve">554.64</t>
  </si>
  <si>
    <t xml:space="preserve">dist=2270;dist=3130;NTF4:uc010yah.1:exon5:c.C172T:p.Q58X;ENSG00000225950:ENST00000451356:exon5:c.C172T:p.Q58X</t>
  </si>
  <si>
    <t xml:space="preserve">0.107582900179627</t>
  </si>
  <si>
    <t xml:space="preserve">neurotrophin 4</t>
  </si>
  <si>
    <t xml:space="preserve">FUNCTION: Target-derived survival factor for peripheral sensory sympathetic neurons.; </t>
  </si>
  <si>
    <t xml:space="preserve">1429.64</t>
  </si>
  <si>
    <t xml:space="preserve">99</t>
  </si>
  <si>
    <t xml:space="preserve">45,54</t>
  </si>
  <si>
    <t xml:space="preserve">4.04876108417812e-08</t>
  </si>
  <si>
    <t xml:space="preserve">zinc finger protein 841</t>
  </si>
  <si>
    <t xml:space="preserve">FUNCTION: May be involved in transcriptional regulation. {ECO:0000250}.; </t>
  </si>
  <si>
    <t xml:space="preserve">578.60</t>
  </si>
  <si>
    <t xml:space="preserve">11,18</t>
  </si>
  <si>
    <t xml:space="preserve">ZNF578:NM_001099694:exon6:c.1280dupA:p.Y427*,ZNF578:NM_001366182:exon6:c.1280dupA:p.Y427*;ZNF578:uc002pzp.4:exon6:c.1280dupA:p.Y427*;ENSG00000258405:ENST00000421239:exon6:c.1280dupA:p.Y427*</t>
  </si>
  <si>
    <t xml:space="preserve">8.81006386925896e-14</t>
  </si>
  <si>
    <t xml:space="preserve">zinc finger protein 578</t>
  </si>
  <si>
    <t xml:space="preserve">284.60</t>
  </si>
  <si>
    <t xml:space="preserve">69,15</t>
  </si>
  <si>
    <t xml:space="preserve">NM_001282333:c.*555_*556delTA;NM_024075:c.*864_*865delTA;NM_001282332:c.*864_*865delTA;NM_001077446:c.*864_*865delTA;uc002qdu.3:c.*864_*865delTA;uc002qdv.3:c.*864_*865delTA;uc002qdw.3:c.*864_*865delTA</t>
  </si>
  <si>
    <t xml:space="preserve">AG</t>
  </si>
  <si>
    <t xml:space="preserve">1548.60</t>
  </si>
  <si>
    <t xml:space="preserve">365</t>
  </si>
  <si>
    <t xml:space="preserve">306,59</t>
  </si>
  <si>
    <t xml:space="preserve">LOC112267881:NM_001368251:exon4:c.527_528del:p.K176Sfs*8,KIR2DL1:NM_014218:exon4:c.527_528del:p.K176Sfs*8;KIR2DL3:uc002qha.2:exon2:c.257_258del:p.K86Sfs*8,KIR2DL1:uc002qhb.1:exon4:c.527_528del:p.K176Sfs*8,KIR2DL1:uc010erz.1:exon4:c.527_528del:p.K176Sfs*8;ENSG00000125498:ENST00000291633:exon4:c.527_528del:p.K176Sfs*8,ENSG00000125498:ENST00000336077:exon4:c.527_528del:p.K176Sfs*8</t>
  </si>
  <si>
    <t xml:space="preserve">2;2;2</t>
  </si>
  <si>
    <t xml:space="preserve">0.0380264991528057;0.184502116558515</t>
  </si>
  <si>
    <t xml:space="preserve">killer cell immunoglobulin like receptor, two Ig domains and long cytoplasmic tail 1;killer cell immunoglobulin like receptor, two Ig domains and long cytoplasmic tail 3</t>
  </si>
  <si>
    <t xml:space="preserve">FUNCTION: Receptor on natural killer (NK) cells for HLA-C alleles (HLA-Cw1, HLA-Cw3 and HLA-Cw7). Inhibits the activity of NK cells thus preventing cell lysis.; ;FUNCTION: Receptor on natural killer (NK) cells for HLA-C alleles. Inhibits the activity of NK cells thus preventing cell lysis. {ECO:0000269|PubMed:18604210}.; </t>
  </si>
  <si>
    <t xml:space="preserve">CA</t>
  </si>
  <si>
    <t xml:space="preserve">1443.60</t>
  </si>
  <si>
    <t xml:space="preserve">355</t>
  </si>
  <si>
    <t xml:space="preserve">299,56</t>
  </si>
  <si>
    <t xml:space="preserve">LOC112267881:NM_001368251:exon4:c.529_530insCA:p.V177Afs*72,KIR2DL1:NM_014218:exon4:c.529_530insCA:p.V177Afs*72;KIR2DL3:uc002qha.2:exon2:c.259_260insCA:p.V87Afs*46,KIR2DL1:uc002qhb.1:exon4:c.529_530insCA:p.V177Afs*72,KIR2DL1:uc010erz.1:exon4:c.529_530insCA:p.V177Afs*75;ENSG00000125498:ENST00000291633:exon4:c.529_530insCA:p.V177Afs*75,ENSG00000125498:ENST00000336077:exon4:c.529_530insCA:p.V177Afs*72</t>
  </si>
  <si>
    <t xml:space="preserve">3836.03</t>
  </si>
  <si>
    <t xml:space="preserve">154</t>
  </si>
  <si>
    <t xml:space="preserve">8,146</t>
  </si>
  <si>
    <t xml:space="preserve">KIR2DL4:NM_001080772:exon6:c.802dupA:p.M271Nfs*108;LOC100287534:uc002qhi.4:exon5:c.868dupA:p.M293Nfs*108,KIR2DL4:uc010yfl.2:exon6:c.796dupA:p.V269Sfs*43,LOC100287534:uc021vbn.2:exon7:c.802dupA:p.M271Nfs*108;ENSG00000189013:ENST00000359085:exon6:c.802dupA:p.M271Nfs*108,ENSG00000189013:ENST00000396284:exon6:c.796dupA:p.V269Sfs*43</t>
  </si>
  <si>
    <t xml:space="preserve">0.875263421473205</t>
  </si>
  <si>
    <t xml:space="preserve">killer cell immunoglobulin like receptor, two Ig domains and long cytoplasmic tail 4</t>
  </si>
  <si>
    <t xml:space="preserve">FUNCTION: Receptor on natural killer (NK) cells for HLA-C alleles. Inhibits the activity of NK cells thus preventing cell lysis.; </t>
  </si>
  <si>
    <t xml:space="preserve">2008.64</t>
  </si>
  <si>
    <t xml:space="preserve">78,74</t>
  </si>
  <si>
    <t xml:space="preserve">0.00121511522532655</t>
  </si>
  <si>
    <t xml:space="preserve">galanin like peptide</t>
  </si>
  <si>
    <t xml:space="preserve">FUNCTION: Isoform 1: Hypothalamic neuropeptide which binds to the G-protein-coupled galanin receptors (GALR1, GALR2 and GALR3). Involved in a large number of putative physiological functions in CNS homeostatic processes, including the regulation of gonadotropin-releasing hormone secretion.; </t>
  </si>
  <si>
    <t xml:space="preserve">1858.02</t>
  </si>
  <si>
    <t xml:space="preserve">14,74,17</t>
  </si>
  <si>
    <t xml:space="preserve">ENSG00000119185:ENST00000483795:exon4:c.302_303insAA:p.N101Kfs*4</t>
  </si>
  <si>
    <t xml:space="preserve">0.00190084865607946</t>
  </si>
  <si>
    <t xml:space="preserve">integrin subunit beta 1 binding protein 1</t>
  </si>
  <si>
    <t xml:space="preserve">FUNCTION: Key regulator of the integrin-mediated cell-matrix interaction signaling by binding to the ITGB1 cytoplasmic tail and preventing the activation of integrin alpha-5/beta-1 (heterodimer of ITGA5 and ITGB1) by talin or FERMT1. Plays a role in cell proliferation, differentiation, spreading, adhesion and migration in the context of mineralization and bone development and angiogenesis. Stimulates cellular proliferation in a fibronectin- dependent manner. Involved in the regulation of beta-1 integrin- containing focal adhesion (FA) site dynamics by controlling its assembly rate during cell adhesion; inhibits beta-1 integrin clustering within FA by directly competing with talin TLN1, and hence stimulates osteoblast spreading and migration in a fibronectin-and/or collagen-dependent manner. Acts as a guanine nucleotide dissociation inhibitor (GDI) by regulating Rho family GTPases during integrin-mediated cell matrix adhesion; reduces the level of active GTP-bound form of both CDC42 and RAC1 GTPases upon cell adhesion to fibronectin. Stimulates the release of active CDC42 from the membranes to maintain it in an inactive cytoplasmic pool. Participates in the translocation of the Rho-associated protein kinase ROCK1 to membrane ruffles at cell leading edges of the cell membrane, leading to an increase of myoblast cell migration on laminin. Plays a role in bone mineralization at a late stage of osteoblast differentiation; modulates the dynamic formation of focal adhesions into fibrillar adhesions, which are adhesive structures responsible for fibronectin deposition and fibrillogenesis. Plays a role in blood vessel development; acts as a negative regulator of angiogenesis by attenuating endothelial cell proliferation and migration, lumen formation and sprouting angiogenesis by promoting AKT phosphorylation and inhibiting ERK1/2 phosphorylation through activation of the Notch signaling pathway. Promotes transcriptional activity of the MYC promoter. {ECO:0000269|PubMed:11741838, ECO:0000269|PubMed:11807099, ECO:0000269|PubMed:11919189, ECO:0000269|PubMed:12473654, ECO:0000269|PubMed:15703214, ECO:0000269|PubMed:17916086, ECO:0000269|PubMed:20616313, ECO:0000269|PubMed:21768292, ECO:0000269|Ref.18}.; </t>
  </si>
  <si>
    <t xml:space="preserve">2290.64</t>
  </si>
  <si>
    <t xml:space="preserve">199</t>
  </si>
  <si>
    <t xml:space="preserve">107,92</t>
  </si>
  <si>
    <t xml:space="preserve">1.65311921220204e-06</t>
  </si>
  <si>
    <t xml:space="preserve">CD207 molecule</t>
  </si>
  <si>
    <t xml:space="preserve">FUNCTION: Calcium-dependent lectin displaying mannose-binding specificity. Induces the formation of Birbeck granules (BGs); is a potent regulator of membrane superimposition and zippering. Binds to sulfated as well as mannosylated glycans, keratan sulfate (KS) and beta-glucans. Facilitates uptake of antigens and is involved in the routing and/or processing of antigen for presentation to T cells. Major receptor on primary Langerhans cells for Candida species, Saccharomyces species, and Malassezia furfur. Protects against human immunodeficiency virus-1 (HIV-1) infection. Binds to high-mannose structures present on the envelope glycoprotein which is followed by subsequent targeting of the virus to the Birbeck granules leading to its rapid degradation. {ECO:0000269|PubMed:10661407, ECO:0000269|PubMed:17334373, ECO:0000269|PubMed:20026605, ECO:0000269|PubMed:20097424}.; </t>
  </si>
  <si>
    <t xml:space="preserve">DISEASE: Birbeck granule deficiency (BIRGD) [MIM:613393]: A condition characterized by the absence of Birbeck granules in epidermal Langerhans cells. Despite the lack of Birbeck granules, Langerhans cells are present in normal numbers and have normal morphologic characteristics and antigen-presenting capacity. {ECO:0000269|PubMed:15816828}. Note=The disease is caused by mutations affecting the gene represented in this entry.; </t>
  </si>
  <si>
    <t xml:space="preserve">1159.64</t>
  </si>
  <si>
    <t xml:space="preserve">44,48</t>
  </si>
  <si>
    <t xml:space="preserve">1.37460263086747e-07</t>
  </si>
  <si>
    <t xml:space="preserve">solute carrier family 4 member 5</t>
  </si>
  <si>
    <t xml:space="preserve">FUNCTION: Mediates sodium- and bicarbonate-dependent electrogenic sodium bicarbonate cotransport, with a Na(+):HCO3(-) stoichiometry of 2:1. May have a housekeeping function in regulating the pH of tissues in which it is expressed. May play a role in mediating Na(+):HCO3(-) cotransport in hepatocytes and intrahepatic cholangiocytes. Also may be important in protecting the renal paranchyma from alterations in urine pH. {ECO:0000250|UniProtKB:Q6RI88, ECO:0000269|PubMed:11788353, ECO:0000269|PubMed:11997242, ECO:0000269|PubMed:12388414}.; </t>
  </si>
  <si>
    <t xml:space="preserve">273.64</t>
  </si>
  <si>
    <t xml:space="preserve">12,13</t>
  </si>
  <si>
    <t xml:space="preserve">4.56408780285543e-11</t>
  </si>
  <si>
    <t xml:space="preserve">ELMO domain containing 3</t>
  </si>
  <si>
    <t xml:space="preserve">FUNCTION: Acts as a GTPase-activating protein (GAP) for ARL2 with low specific activity. {ECO:0000269|PubMed:24039609}.; </t>
  </si>
  <si>
    <t xml:space="preserve">4534.64</t>
  </si>
  <si>
    <t xml:space="preserve">370</t>
  </si>
  <si>
    <t xml:space="preserve">194,176</t>
  </si>
  <si>
    <t xml:space="preserve">intronic;ncRNA_exonic;ncRNA_intronic;splicing</t>
  </si>
  <si>
    <t xml:space="preserve">ENST00000575193:exon12:c.903-1G&gt;A</t>
  </si>
  <si>
    <t xml:space="preserve">ankyrin repeat domain 36B pseudogene 2</t>
  </si>
  <si>
    <t xml:space="preserve">TCGT</t>
  </si>
  <si>
    <t xml:space="preserve">168.60</t>
  </si>
  <si>
    <t xml:space="preserve">151,15</t>
  </si>
  <si>
    <t xml:space="preserve">ANKRD36C:NM_001310154:exon85:c.6141_6144del:p.K2047Nfs*18;dist=26830;dist=2194;ENSG00000174501:ENST00000420871:exon55:c.2796_2799del:p.K932Nfs*18,ENSG00000174501:ENST00000419039:exon56:c.2124_2127del:p.K708Nfs*18,ENSG00000174501:ENST00000456556:exon64:c.5043_5046del:p.K1681Nfs*18</t>
  </si>
  <si>
    <t xml:space="preserve">TTTT</t>
  </si>
  <si>
    <t xml:space="preserve">2665.60</t>
  </si>
  <si>
    <t xml:space="preserve">652</t>
  </si>
  <si>
    <t xml:space="preserve">548,104</t>
  </si>
  <si>
    <t xml:space="preserve">ANKRD36C:NM_001310154:exon84:c.5859_5862del:p.K1953Nfs*35;dist=508;ENSG00000174501:ENST00000420871:exon54:c.2514_2517del:p.K838Nfs*35,ENSG00000174501:ENST00000419039:exon55:c.1842_1845del:p.K614Nfs*35,ENSG00000174501:ENST00000456556:exon63:c.4761_4764del:p.K1587Nfs*35</t>
  </si>
  <si>
    <t xml:space="preserve">10160.60</t>
  </si>
  <si>
    <t xml:space="preserve">763</t>
  </si>
  <si>
    <t xml:space="preserve">391,372</t>
  </si>
  <si>
    <t xml:space="preserve">ANKRD36C:NM_001310154:exon84:c.5629dupC:p.L1877Pfs*9;dist=279;ENSG00000174501:ENST00000420871:exon54:c.2284dupC:p.L762Pfs*9,ENSG00000174501:ENST00000419039:exon55:c.1612dupC:p.L538Pfs*9,ENSG00000174501:ENST00000456556:exon63:c.4531dupC:p.L1511Pfs*9</t>
  </si>
  <si>
    <t xml:space="preserve">16298.60</t>
  </si>
  <si>
    <t xml:space="preserve">772</t>
  </si>
  <si>
    <t xml:space="preserve">248,524</t>
  </si>
  <si>
    <t xml:space="preserve">ANKRD36C:NM_001310154:exon84:c.5627_5628insA:p.L1877Sfs*9;dist=277;ENSG00000174501:ENST00000420871:exon54:c.2282_2283insA:p.L762Sfs*9,ENSG00000174501:ENST00000419039:exon55:c.1610_1611insA:p.L538Sfs*9,ENSG00000174501:ENST00000456556:exon63:c.4529_4530insA:p.L1511Sfs*9</t>
  </si>
  <si>
    <t xml:space="preserve">20664.60</t>
  </si>
  <si>
    <t xml:space="preserve">730</t>
  </si>
  <si>
    <t xml:space="preserve">220,510</t>
  </si>
  <si>
    <t xml:space="preserve">ANKRD36C:NM_001310154:exon84:c.5623_5624del:p.H1875Cfs*10;dist=272;ENSG00000174501:ENST00000420871:exon54:c.2278_2279del:p.H760Cfs*10,ENSG00000174501:ENST00000419039:exon55:c.1606_1607del:p.H536Cfs*10,ENSG00000174501:ENST00000456556:exon63:c.4525_4526del:p.H1509Cfs*10</t>
  </si>
  <si>
    <t xml:space="preserve">60.60</t>
  </si>
  <si>
    <t xml:space="preserve">61,10</t>
  </si>
  <si>
    <t xml:space="preserve">intronic;splicing</t>
  </si>
  <si>
    <t xml:space="preserve">ENST00000441435:exon4:c.310-1-&gt;T</t>
  </si>
  <si>
    <t xml:space="preserve">5.26132710714781e-07</t>
  </si>
  <si>
    <t xml:space="preserve">TBC1 domain family member 8</t>
  </si>
  <si>
    <t xml:space="preserve">FUNCTION: May act as a GTPase-activating protein for Rab family protein(s).; </t>
  </si>
  <si>
    <t xml:space="preserve">345.64</t>
  </si>
  <si>
    <t xml:space="preserve">12,12</t>
  </si>
  <si>
    <t xml:space="preserve">cilia and flagella associated protein 221</t>
  </si>
  <si>
    <t xml:space="preserve">FUNCTION: May play a role in cilium morphogenesis. {ECO:0000250|UniProtKB:A9Q751}.; </t>
  </si>
  <si>
    <t xml:space="preserve">132.64</t>
  </si>
  <si>
    <t xml:space="preserve">9,5</t>
  </si>
  <si>
    <t xml:space="preserve">0.998939595969048</t>
  </si>
  <si>
    <t xml:space="preserve">GLI family zinc finger 2</t>
  </si>
  <si>
    <t xml:space="preserve">FUNCTION: Functions as transcription regulator in the hedgehog (Hh) pathway (PubMed:18455992). Functions as transcriptional activator (PubMed:9557682, PubMed:19878745, PubMed:24311597). May also function as transcriptional repressor (By similarity). Requires STK36 for full transcriptional activator activity. Required for normal embryonic development (PubMed:15994174, PubMed:20685856). {ECO:0000250|UniProtKB:Q0VGT2, ECO:0000269|PubMed:15994174, ECO:0000269|PubMed:18455992, ECO:0000269|PubMed:19878745, ECO:0000269|PubMed:24311597, ECO:0000269|PubMed:9557682, ECO:0000305|PubMed:20685856}.; FUNCTION: Isoform 5: Acts as a transcriptional repressor. {ECO:0000269|PubMed:15994174}.; </t>
  </si>
  <si>
    <t xml:space="preserve">DISEASE: Holoprosencephaly 9 (HPE9) [MIM:610829]: A structural anomaly of the brain, in which the developing forebrain fails to correctly separate into right and left hemispheres. Holoprosencephaly is genetically heterogeneous and associated with several distinct facies and phenotypic variability. Holoprosencephaly type 9 is characterized by defective anterior pituitary formation and pan-hypopituitarism, with or without overt forebrain cleavage abnormalities, and holoprosencephaly-like midfacial hypoplasia. {ECO:0000269|PubMed:14581620, ECO:0000269|PubMed:17096318, ECO:0000269|PubMed:20685856}. Note=The disease is caused by mutations affecting the gene represented in this entry.; DISEASE: Culler-Jones syndrome (CJS) [MIM:615849]: An autosomal dominant disorder characterized by a wide range of clinical manifestations. Clinical features include hypothalamic hamartoma, pituitary dysfunction, central or postaxial polydactyly, and syndactyly. Malformations are frequent in the viscera, e.g. anal atresia, bifid uvula, congenital heart malformations, pulmonary or renal dysplasia. {ECO:0000269|PubMed:15994174, ECO:0000269|PubMed:20685856}. Note=The disease is caused by mutations affecting the gene represented in this entry.; </t>
  </si>
  <si>
    <t xml:space="preserve">355.64</t>
  </si>
  <si>
    <t xml:space="preserve">52</t>
  </si>
  <si>
    <t xml:space="preserve">36,16</t>
  </si>
  <si>
    <t xml:space="preserve">ankyrin repeat domain 30B-like</t>
  </si>
  <si>
    <t xml:space="preserve">211.64</t>
  </si>
  <si>
    <t xml:space="preserve">0.00061199920887983</t>
  </si>
  <si>
    <t xml:space="preserve">aspartyl-tRNA synthetase</t>
  </si>
  <si>
    <t xml:space="preserve">FUNCTION: Catalyzes the specific attachment of an amino acid to its cognate tRNA in a 2 step reaction: the amino acid (AA) is first activated by ATP to form AA-AMP and then transferred to the acceptor end of the tRNA.; </t>
  </si>
  <si>
    <t xml:space="preserve">595.64</t>
  </si>
  <si>
    <t xml:space="preserve">12,20</t>
  </si>
  <si>
    <t xml:space="preserve">0.999999190192507</t>
  </si>
  <si>
    <t xml:space="preserve">LDL receptor related protein 1B</t>
  </si>
  <si>
    <t xml:space="preserve">FUNCTION: Potential cell surface proteins that bind and internalize ligands in the process of receptor-mediated endocytosis.; </t>
  </si>
  <si>
    <t xml:space="preserve">480.64</t>
  </si>
  <si>
    <t xml:space="preserve">17,15</t>
  </si>
  <si>
    <t xml:space="preserve">0.996999397171698</t>
  </si>
  <si>
    <t xml:space="preserve">formin like 2</t>
  </si>
  <si>
    <t xml:space="preserve">FUNCTION: Plays a role in the regulation of cell morphology and cytoskeletal organization. Required in the cortical actin filament dynamics. {ECO:0000269|PubMed:21834987}.; </t>
  </si>
  <si>
    <t xml:space="preserve">1637.02</t>
  </si>
  <si>
    <t xml:space="preserve">3,20,30</t>
  </si>
  <si>
    <t xml:space="preserve">8.79556820389947e-06</t>
  </si>
  <si>
    <t xml:space="preserve">cholinergic receptor nicotinic alpha 1 subunit</t>
  </si>
  <si>
    <t xml:space="preserve">FUNCTION: After binding acetylcholine, the AChR responds by an extensive change in conformation that affects all subunits and leads to opening of an ion-conducting channel across the plasma membrane.; </t>
  </si>
  <si>
    <t xml:space="preserve">DISEASE: Note=The alpha subunit is the main focus for antibody binding in myasthenia gravis. Myasthenia gravis is characterized by sporadic muscular fatigability and weakness, occurring chiefly in muscles innervated by cranial nerves, and characteristically improved by cholinesterase-inhibiting drugs.; DISEASE: Myasthenic syndrome, congenital, 1A, slow-channel (CMS1A) [MIM:601462]: A common congenital myasthenic syndrome. Congenital myasthenic syndromes are characterized by muscle weakness affecting the axial and limb muscles (with hypotonia in early- onset forms), the ocular muscles (leading to ptosis and ophthalmoplegia), and the facial and bulbar musculature (affecting sucking and swallowing, and leading to dysphonia). The symptoms fluctuate and worsen with physical effort. CMS1A is a slow-channel myasthenic syndrome. It is caused by kinetic abnormalities of the AChR, resulting in prolonged AChR channel opening episodes, prolonged endplate currents, and depolarization block. This is associated with calcium overload, which may contribute to subsequent degeneration of the endplate and postsynaptic membrane. {ECO:0000269|PubMed:16685696, ECO:0000269|PubMed:7619526, ECO:0000269|PubMed:8872460, ECO:0000269|PubMed:9158151, ECO:0000269|PubMed:9221765}. Note=The disease is caused by mutations affecting the gene represented in this entry.; DISEASE: Myasthenic syndrome, congenital, 1B, fast-channel (CMS1B) [MIM:608930]: A form of congenital myasthenic syndrome, a group of disorders characterized by failure of neuromuscular transmission, including pre-synaptic, synaptic, and post-synaptic disorders that are not of autoimmune origin. Clinical features are easy fatigability and muscle weakness affecting the axial and limb muscles (with hypotonia in early-onset forms), the ocular muscles (leading to ptosis and ophthalmoplegia), and the facial and bulbar musculature (affecting sucking and swallowing, and leading to dysphonia). The symptoms fluctuate and worsen with physical effort. CMS1B is a fast-channel myasthenic syndrome. It is caused by kinetic abnormalities of the AChR, resulting in brief opening and activity of the channel, with a rapid decay in endplate current, failure to achieve threshold depolarization of the endplate and consequent failure to fire an action potential. {ECO:0000269|PubMed:10195214, ECO:0000269|PubMed:12588888, ECO:0000269|PubMed:15079006}. Note=The disease is caused by mutations affecting the gene represented in this entry.; </t>
  </si>
  <si>
    <t xml:space="preserve">852.64</t>
  </si>
  <si>
    <t xml:space="preserve">31,29</t>
  </si>
  <si>
    <t xml:space="preserve">1.21111377105808e-32</t>
  </si>
  <si>
    <t xml:space="preserve">microRNA 548n;titin</t>
  </si>
  <si>
    <t xml:space="preserve">FUNCTION: Key component in the assembly and functioning of vertebrate striated muscles. By providing connections at the level of individual microfilaments, it contributes to the fine balance of forces between the two halves of the sarcomere. The size and extensibility of the cross-links are the main determinants of sarcomere extensibility properties of muscle. In non-muscle cells, seems to play a role in chromosome condensation and chromosome segregation during mitosis. Might link the lamina network to chromatin or nuclear actin, or both during interphase. {ECO:0000269|PubMed:9804419}.; </t>
  </si>
  <si>
    <t xml:space="preserve">DISEASE: Hereditary myopathy with early respiratory failure (HMERF) [MIM:603689]: Autosomal dominant, adult-onset myopathy with early respiratory muscle involvement. {ECO:0000269|PubMed:15802564}. Note=The disease is caused by mutations affecting the gene represented in this entry.; DISEASE: Cardiomyopathy, familial hypertrophic 9 (CMH9) [MIM:613765]: A hereditary heart disorder characterized by ventricular hypertrophy, which is usually asymmetric and often involves the interventricular septum. The symptoms include dyspnea, syncope, collapse, palpitations, and chest pain. They can be readily provoked by exercise. The disorder has inter- and intrafamilial variability ranging from benign to malignant forms with high risk of cardiac failure and sudden cardiac death. {ECO:0000269|PubMed:10462489}. Note=The disease is caused by mutations affecting the gene represented in this entry.; DISEASE: Cardiomyopathy, dilated 1G (CMD1G) [MIM:604145]: A disorder characterized by ventricular dilation and impaired systolic function, resulting in congestive heart failure and arrhythmia. Patients are at risk of premature death. {ECO:0000269|PubMed:11788824, ECO:0000269|PubMed:11846417, ECO:0000269|PubMed:16465475}. Note=The disease is caused by mutations affecting the gene represented in this entry.; DISEASE: Tardive tibial muscular dystrophy (TMD) [MIM:600334]: Autosomal dominant, late-onset distal myopathy. Muscle weakness and atrophy are usually confined to the anterior compartment of the lower leg, in particular the tibialis anterior muscle. Clinical symptoms usually occur at age 35-45 years or much later. {ECO:0000269|PubMed:12145747, ECO:0000269|PubMed:12891679}. Note=The disease is caused by mutations affecting the gene represented in this entry.; DISEASE: Limb-girdle muscular dystrophy 2J (LGMD2J) [MIM:608807]: An autosomal recessive degenerative myopathy characterized by progressive weakness of the pelvic and shoulder girdle muscles. Severe disability is observed within 20 years of onset. {ECO:0000269|PubMed:12145747}. Note=The disease is caused by mutations affecting the gene represented in this entry.; DISEASE: Early-onset myopathy with fatal cardiomyopathy (EOMFC) [MIM:611705]: Early-onset myopathies are inherited muscle disorders that manifest typically from birth or infancy with hypotonia, muscle weakness, and delayed motor development. EOMFC is a titinopathy that, in contrast with the previously described examples, involves both heart and skeletal muscle, has a congenital onset, and is purely recessive. This phenotype is due to homozygous out-of-frame TTN deletions, which lead to a total absence of titin's C-terminal end from striated muscles and to secondary CAPN3 depletion. {ECO:0000269|PubMed:17444505}. Note=The disease is caused by mutations affecting the gene represented in this entry.; </t>
  </si>
  <si>
    <t xml:space="preserve">TTT</t>
  </si>
  <si>
    <t xml:space="preserve">439.60</t>
  </si>
  <si>
    <t xml:space="preserve">14,22</t>
  </si>
  <si>
    <t xml:space="preserve">titin</t>
  </si>
  <si>
    <t xml:space="preserve">79</t>
  </si>
  <si>
    <t xml:space="preserve">35,44</t>
  </si>
  <si>
    <t xml:space="preserve">1029.64</t>
  </si>
  <si>
    <t xml:space="preserve">26,38</t>
  </si>
  <si>
    <t xml:space="preserve">8.94919335579899e-05</t>
  </si>
  <si>
    <t xml:space="preserve">DnaJ heat shock protein family (Hsp40) member C10</t>
  </si>
  <si>
    <t xml:space="preserve">FUNCTION: Endoplasmic reticulum disulfide reductase involved both in the correct folding of proteins and degradation of misfolded proteins. Required for efficient folding of proteins in the endoplasmic reticulum by catalyzing the removal of non-native disulfide bonds formed during the folding of proteins, such as LDLR. Also involved in endoplasmic reticulum-associated degradation (ERAD) by reducing incorrect disulfide bonds in misfolded glycoproteins recognized by EDEM1. Interaction with HSPA5 is required its activity, not for the disulfide reductase activity, but to facilitate the release of DNAJC10 from its substrate. Promotes apoptotic signaling pathway in response to endoplasmic reticulum stress. {ECO:0000269|PubMed:12411443, ECO:0000269|PubMed:18400946, ECO:0000269|PubMed:19122239, ECO:0000269|PubMed:23769672}.; </t>
  </si>
  <si>
    <t xml:space="preserve">140.60</t>
  </si>
  <si>
    <t xml:space="preserve">110,19</t>
  </si>
  <si>
    <t xml:space="preserve">NM_013436:exon24:c.2602-2-&gt;T;NM_205842:exon25:c.2620-2-&gt;T;uc002upb.4:exon25:c.2620-2-&gt;T;uc002upc.4:exon24:c.2602-2-&gt;T;ENST00000361354:exon24:c.2602-2-&gt;T;ENST00000360982:exon25:c.2620-2-&gt;T</t>
  </si>
  <si>
    <t xml:space="preserve">0.999999990714008</t>
  </si>
  <si>
    <t xml:space="preserve">NCK associated protein 1</t>
  </si>
  <si>
    <t xml:space="preserve">FUNCTION: Part of the WAVE complex that regulates lamellipodia formation. The WAVE complex regulates actin filament reorganization via its interaction with the Arp2/3 complex. Actin remodeling activity is regulated by RAC1.; </t>
  </si>
  <si>
    <t xml:space="preserve">586.64</t>
  </si>
  <si>
    <t xml:space="preserve">8.64518813873327e-08</t>
  </si>
  <si>
    <t xml:space="preserve">par-3 family cell polarity regulator beta</t>
  </si>
  <si>
    <t xml:space="preserve">FUNCTION: Putative adapter protein involved in asymmetrical cell division and cell polarization processes. May play a role in the formation of epithelial tight junctions.; </t>
  </si>
  <si>
    <t xml:space="preserve">9,33</t>
  </si>
  <si>
    <t xml:space="preserve">3.5917982569485e-08</t>
  </si>
  <si>
    <t xml:space="preserve">acyl-CoA dehydrogenase, long chain</t>
  </si>
  <si>
    <t xml:space="preserve">DISEASE: Acyl-CoA dehydrogenase very long-chain deficiency (ACADVLD) [MIM:201475]: An inborn error of mitochondrial fatty acid beta-oxidation which leads to impaired long-chain fatty acid beta-oxidation. It is clinically heterogeneous, with three major phenotypes: a severe childhood form characterized by early onset, high mortality and high incidence of cardiomyopathy; a milder childhood form with later onset, characterized by hypoketotic hypoglycemia, low mortality and rare cardiomyopathy; an adult form, with isolated skeletal muscle involvement, rhabdomyolysis and myoglobinuria, usually triggered by exercise or fasting. Note=The disease is caused by mutations affecting the gene represented in this entry.; </t>
  </si>
  <si>
    <t xml:space="preserve">808.64</t>
  </si>
  <si>
    <t xml:space="preserve">29,38</t>
  </si>
  <si>
    <t xml:space="preserve">6.06952429760381e-05</t>
  </si>
  <si>
    <t xml:space="preserve">SP140 nuclear body protein like</t>
  </si>
  <si>
    <t xml:space="preserve">57,45</t>
  </si>
  <si>
    <t xml:space="preserve">0.207502332172099</t>
  </si>
  <si>
    <t xml:space="preserve">COP9 signalosome subunit 7B</t>
  </si>
  <si>
    <t xml:space="preserve">FUNCTION: Component of the COP9 signalosome complex (CSN), a complex involved in various cellular and developmental processes. The CSN complex is an essential regulator of the ubiquitin (Ubl) conjugation pathway by mediating the deneddylation of the cullin subunits of SCF-type E3 ligase complexes, leading to decrease the Ubl ligase activity of SCF-type complexes such as SCF, CSA or DDB2. The complex is also involved in phosphorylation of p53/TP53, JUN, I-kappa-B-alpha/NFKBIA, ITPK1 and IRF8/ICSBP, possibly via its association with CK2 and PKD kinases. CSN-dependent phosphorylation of TP53 and JUN promotes and protects degradation by the Ubl system, respectively. {ECO:0000269|PubMed:11285227, ECO:0000269|PubMed:11337588, ECO:0000269|PubMed:12628923, ECO:0000269|PubMed:12732143}.; </t>
  </si>
  <si>
    <t xml:space="preserve">1071.60</t>
  </si>
  <si>
    <t xml:space="preserve">32,28</t>
  </si>
  <si>
    <t xml:space="preserve">0.933004687040542</t>
  </si>
  <si>
    <t xml:space="preserve">period circadian clock 2</t>
  </si>
  <si>
    <t xml:space="preserve">FUNCTION: Transcriptional repressor which forms a core component of the circadian clock. The circadian clock, an internal time- keeping system, regulates various physiological processes through the generation of approximately 24 hour circadian rhythms in gene expression, which are translated into rhythms in metabolism and behavior. It is derived from the Latin roots 'circa' (about) and 'diem' (day) and acts as an important regulator of a wide array of physiological functions including metabolism, sleep, body temperature, blood pressure, endocrine, immune, cardiovascular, and renal function. Consists of two major components: the central clock, residing in the suprachiasmatic nucleus (SCN) of the brain, and the peripheral clocks that are present in nearly every tissue and organ system. Both the central and peripheral clocks can be reset by environmental cues, also known as Zeitgebers (German for 'timegivers'). The predominant Zeitgeber for the central clock is light, which is sensed by retina and signals directly to the SCN. The central clock entrains the peripheral clocks through neuronal and hormonal signals, body temperature and feeding-related cues, aligning all clocks with the external light/dark cycle. Circadian rhythms allow an organism to achieve temporal homeostasis with its environment at the molecular level by regulating gene expression to create a peak of protein expression once every 24 hours to control when a particular physiological process is most active with respect to the solar day. Transcription and translation of core clock components (CLOCK, NPAS2, ARNTL/BMAL1, ARNTL2/BMAL2, PER1, PER2, PER3, CRY1 and CRY2) plays a critical role in rhythm generation, whereas delays imposed by post-translational modifications (PTMs) are important for determining the period (tau) of the rhythms (tau refers to the period of a rhythm and is the length, in time, of one complete cycle). A diurnal rhythm is synchronized with the day/night cycle, while the ultradian and infradian rhythms have a period shorter and longer than 24 hours, respectively. Disruptions in the circadian rhythms contribute to the pathology of cardiovascular diseases, cancer, metabolic syndrome and aging. A transcription/translation feedback loop (TTFL) forms the core of the molecular circadian clock mechanism. Transcription factors, CLOCK or NPAS2 and ARNTL/BMAL1 or ARNTL2/BMAL2, form the positive limb of the feedback loop, act in the form of a heterodimer and activate the transcription of core clock genes and clock-controlled genes (involved in key metabolic processes), harboring E-box elements (5'-CACGTG-3') within their promoters. The core clock genes: PER1/2/3 and CRY1/2 which are transcriptional repressors form the negative limb of the feedback loop and interact with the CLOCK|NPAS2-ARNTL/BMAL1|ARNTL2/BMAL2 heterodimer inhibiting its activity and thereby negatively regulating their own expression. This heterodimer also activates nuclear receptors NR1D1/2 and RORA/B/G, which form a second feedback loop and which activate and repress ARNTL/BMAL1 transcription, respectively. PER1 and PER2 proteins transport CRY1 and CRY2 into the nucleus with appropriate circadian timing, but also contribute directly to repression of clock-controlled target genes through interaction with several classes of RNA-binding proteins, helicases and others transcriptional repressors. PER appears to regulate circadian control of transcription by at least three different modes. First, interacts directly with the CLOCK- ARTNL/BMAL1 at the tail end of the nascent transcript peak to recruit complexes containing the SIN3-HDAC that remodel chromatin to repress transcription. Second, brings H3K9 methyltransferases such as SUV39H1 and SUV39H2 to the E-box elements of the circadian target genes, like PER2 itself or PER1. The recruitment of each repressive modifier to the DNA seems to be very precisely temporally orchestrated by the large PER complex, the deacetylases acting before than the methyltransferases. Additionally, large PER complexes are also recruited to the target genes 3' termination site through interactions with RNA-binding proteins and helicases that may play a role in transcription termination to regulate transcription independently of CLOCK-ARTNL/BMAL1 interactions. Recruitment of large PER complexes to the elongating polymerase at PER and CRY termination sites inhibited SETX action, impeding RNA polymerase II release and thereby repressing transcriptional reinitiation. May propagate clock information to metabolic pathways via the interaction with nuclear receptors. Coactivator of PPARA and corepressor of NR1D1, binds rhythmically at the promoter of nuclear receptors target genes like ARNTL or G6PC. Directly and specifically represses PPARG proadipogenic activity by blocking PPARG recruitment to target promoters and thereby inhibiting transcriptional activation. Required for fatty acid and lipid metabolism, is involved as well in the regulation of circulating insulin levels. Plays an important role in the maintenance of cardiovascular functions through the regulation of NO and vasodilatatory prostaglandins production in aortas. Controls circadian glutamate uptake in synaptic vesicles through the regulation of VGLUT1 expression. May also be involved in the regulation of inflammatory processes. Represses the CLOCK- ARNTL/BMAL1 induced transcription of BHLHE40/DEC1 and ATF4. Negatively regulates the formation of the TIMELESS-CRY1 complex by competing with TIMELESS for binding to CRY1. {ECO:0000250|UniProtKB:O54943}.; </t>
  </si>
  <si>
    <t xml:space="preserve">DISEASE: Advanced sleep phase syndrome, familial, 1 (FASPS1) [MIM:604348]: A disorder characterized by very early sleep onset and offset. Individuals are 'morning larks' with a 4 hours advance of the sleep, temperature and melatonin rhythms. {ECO:0000269|PubMed:11232563}. Note=The disease is caused by mutations affecting the gene represented in this entry.; </t>
  </si>
  <si>
    <t xml:space="preserve">AC</t>
  </si>
  <si>
    <t xml:space="preserve">711.02</t>
  </si>
  <si>
    <t xml:space="preserve">4,18,10</t>
  </si>
  <si>
    <t xml:space="preserve">uc002wmi.3:c.*91_*92insAC;uc002wmj.3:c.*91_*92insAC;uc002wmk.3:c.*91_*92insAC;uc002wml.3:c.*91_*92insAC;uc010gbp.3:c.*91_*92insAC;uc002wmm.3:c.*91_*92insAC;ENST00000378883:c.*91_*92insAC;ENST00000378896:c.*91_*92insAC;ENST00000265187:c.*91_*92insAC</t>
  </si>
  <si>
    <t xml:space="preserve">1.92893351081766e-10</t>
  </si>
  <si>
    <t xml:space="preserve">MCM8 antisense RNA 1;minichromosome maintenance 8 homologous recombination repair factor</t>
  </si>
  <si>
    <t xml:space="preserve">FUNCTION: Component of the MCM8-MCM9 complex, a complex involved in homologous recombination repair following DNA interstrand cross-links and plays a key role during gametogenesis. The MCM8- MCM9 complex probably acts as a hexameric helicase downstream of the Fanconi anemia proteins BRCA2 and RAD51 and is required to process aberrant forks into homologous recombination substrates and to orchestrate homologous recombination with resection, fork stabilization and fork restart. May also play a non-essential for DNA replication: may be involved in the activation of the prereplicative complex (pre-RC) during G(1) phase by recruiting CDC6 to the origin recognition complex (ORC). Binds chromatin throughout the cell cycle. {ECO:0000269|PubMed:22771115}.; </t>
  </si>
  <si>
    <t xml:space="preserve">DISEASE: Premature ovarian failure 10 (POF10) [MIM:612885]: An ovarian disorder defined as the cessation of ovarian function under the age of 40 years. It is characterized by oligomenorrhea or amenorrhea, in the presence of elevated levels of serum gonadotropins and low estradiol. {ECO:0000269|PubMed:25437880}. Note=The disease is caused by mutations affecting the gene represented in this entry.; </t>
  </si>
  <si>
    <t xml:space="preserve">56.60</t>
  </si>
  <si>
    <t xml:space="preserve">49,11</t>
  </si>
  <si>
    <t xml:space="preserve">0.959806530251926</t>
  </si>
  <si>
    <t xml:space="preserve">synaptosome associated protein 25kDa</t>
  </si>
  <si>
    <t xml:space="preserve">FUNCTION: t-SNARE involved in the molecular regulation of neurotransmitter release. May play an important role in the synaptic function of specific neuronal systems. Associates with proteins involved in vesicle docking and membrane fusion. Regulates plasma membrane recycling through its interaction with CENPF. Modulates the gating characteristics of the delayed rectifier voltage-dependent potassium channel KCNB1 in pancreatic beta cells. {ECO:0000250|UniProtKB:P60881}.; </t>
  </si>
  <si>
    <t xml:space="preserve">DISEASE: Myasthenic syndrome, congenital, 18 (CMS18) [MIM:616330]: A form of congenital myasthenic syndrome, a group of disorders characterized by failure of neuromuscular transmission, including pre-synaptic, synaptic, and post-synaptic disorders that are not of autoimmune origin. Clinical features are easy fatigability and muscle weakness affecting the axial and limb muscles (with hypotonia in early-onset forms), the ocular muscles (leading to ptosis and ophthalmoplegia), and the facial and bulbar musculature (affecting sucking and swallowing, and leading to dysphonia). The symptoms fluctuate and worsen with physical effort. CMS18 is an autosomal dominant presynaptic disorder clinically characterized by early-onset muscle weakness and easy fatigability associated with delayed psychomotor development and ataxia. {ECO:0000269|PubMed:25381298}. Note=The disease is caused by mutations affecting the gene represented in this entry.; </t>
  </si>
  <si>
    <t xml:space="preserve">461.64</t>
  </si>
  <si>
    <t xml:space="preserve">30,23</t>
  </si>
  <si>
    <t xml:space="preserve">kizuna centrosomal protein</t>
  </si>
  <si>
    <t xml:space="preserve">FUNCTION: Centrosomal protein required for establishing a robust mitotic centrosome architecture that can endure the forces that converge on the centrosomes during spindle formation. Required for stabilizing the expanded pericentriolar material around the centriole. {ECO:0000269|PubMed:16980960}.; </t>
  </si>
  <si>
    <t xml:space="preserve">DISEASE: Retinitis pigmentosa 69 (RP69) [MIM:615780]: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{ECO:0000269|PubMed:24680887}. Note=The disease is caused by mutations affecting the gene represented in this entry.; </t>
  </si>
  <si>
    <t xml:space="preserve">37,17</t>
  </si>
  <si>
    <t xml:space="preserve">104.64</t>
  </si>
  <si>
    <t xml:space="preserve">60,9</t>
  </si>
  <si>
    <t xml:space="preserve">0.0690352137873098</t>
  </si>
  <si>
    <t xml:space="preserve">cystatin C</t>
  </si>
  <si>
    <t xml:space="preserve">FUNCTION: As an inhibitor of cysteine proteinases, this protein is thought to serve an important physiological role as a local regulator of this enzyme activity.; </t>
  </si>
  <si>
    <t xml:space="preserve">DISEASE: Amyloidosis 6 (AMYL6) [MIM:105150]: A hereditary generalized amyloidosis due to cystatin C amyloid deposition. Cystatin C amyloid accumulates in the walls of arteries, arterioles, and sometimes capillaries and veins of the brain, and in various organs including lymphoid tissue, spleen, salivary glands, and seminal vesicles. Amyloid deposition in the cerebral vessels results in cerebral amyloid angiopathy, cerebral hemorrhage and premature stroke. Cystatin C levels in the cerebrospinal fluid are abnormally low. {ECO:0000269|PubMed:1352269, ECO:0000269|PubMed:2541223}. Note=The disease is caused by mutations affecting the gene represented in this entry.; DISEASE: Macular degeneration, age-related, 11 (ARMD11) [MIM:611953]: A form of age-related macular degeneration, a multifactorial eye disease and the most common cause of irreversible vision loss in the developed world. In most patients, the disease is manifest as ophthalmoscopically visible yellowish accumulations of protein and lipid that lie beneath the retinal pigment epithelium and within an elastin-containing structure known as Bruch membrane. {ECO:0000269|PubMed:11815350}. Note=Disease susceptibility is associated with variations affecting the gene represented in this entry.; </t>
  </si>
  <si>
    <t xml:space="preserve">3081.64</t>
  </si>
  <si>
    <t xml:space="preserve">238</t>
  </si>
  <si>
    <t xml:space="preserve">120,118</t>
  </si>
  <si>
    <t xml:space="preserve">0.9999969154952</t>
  </si>
  <si>
    <t xml:space="preserve">RNA binding motif protein 39</t>
  </si>
  <si>
    <t xml:space="preserve">FUNCTION: Transcriptional coactivator for steroid nuclear receptors ESR1/ER-alpha and ESR2/ER-beta, and JUN/AP-1 (By similarity). May be involved in pre-mRNA splicing process. {ECO:0000250}.; </t>
  </si>
  <si>
    <t xml:space="preserve">2.29296795546672e-07</t>
  </si>
  <si>
    <t xml:space="preserve">cyclic nucleotide binding domain containing 2</t>
  </si>
  <si>
    <t xml:space="preserve">463.64</t>
  </si>
  <si>
    <t xml:space="preserve">8.85642713755215e-09</t>
  </si>
  <si>
    <t xml:space="preserve">bactericidal/permeability-increasing protein</t>
  </si>
  <si>
    <t xml:space="preserve">FUNCTION: The cytotoxic action of BPI is limited to many species of Gram-negative bacteria; this specificity may be explained by a strong affinity of the very basic N-terminal half for the negatively charged lipopolysaccharides that are unique to the Gram-negative bacterial outer envelope. Has antibacterial activity against the Gram-nagative bacterium P.aeruginosa, this activity is inhibited by LPS from P.aeruginosa. {ECO:0000269|PubMed:1937776, ECO:0000269|PubMed:2722846}.; </t>
  </si>
  <si>
    <t xml:space="preserve">950.64</t>
  </si>
  <si>
    <t xml:space="preserve">45,35</t>
  </si>
  <si>
    <t xml:space="preserve">0.999998893194682</t>
  </si>
  <si>
    <t xml:space="preserve">protein tyrosine phosphatase, receptor type T</t>
  </si>
  <si>
    <t xml:space="preserve">FUNCTION: May be involved in both signal transduction and cellular adhesion in the CNS.; </t>
  </si>
  <si>
    <t xml:space="preserve">AATA</t>
  </si>
  <si>
    <t xml:space="preserve">319.60</t>
  </si>
  <si>
    <t xml:space="preserve">142</t>
  </si>
  <si>
    <t xml:space="preserve">125,17</t>
  </si>
  <si>
    <t xml:space="preserve">FAM209A:NM_001012971:exon1:c.110_113del:p.Q37Pfs*34;FAM209A:uc002xxx.3:exon1:c.110_113del:p.Q37Pfs*34,FAM209B:uc010zzh.3:exon1:c.110_113del:p.Q37Pfs*34;ENSG00000124103:ENST00000371328:exon1:c.110_113del:p.Q37Pfs*34</t>
  </si>
  <si>
    <t xml:space="preserve">0.0297206395001582;0.0316770454966637</t>
  </si>
  <si>
    <t xml:space="preserve">family with sequence similarity 209 member A;family with sequence similarity 209 member B</t>
  </si>
  <si>
    <t xml:space="preserve">GTGT</t>
  </si>
  <si>
    <t xml:space="preserve">331.60</t>
  </si>
  <si>
    <t xml:space="preserve">138</t>
  </si>
  <si>
    <t xml:space="preserve">121,17</t>
  </si>
  <si>
    <t xml:space="preserve">FAM209A:NM_001012971:exon1:c.114_115insGTGT:p.G39Vfs*43;FAM209A:uc002xxx.3:exon1:c.114_115insGTGT:p.G39Vfs*43,FAM209B:uc010zzh.3:exon1:c.114_115insGTGT:p.G39Vfs*43;ENSG00000124103:ENST00000371328:exon1:c.114_115insGTGT:p.G39Vfs*43</t>
  </si>
  <si>
    <t xml:space="preserve">1017.64</t>
  </si>
  <si>
    <t xml:space="preserve">46,41</t>
  </si>
  <si>
    <t xml:space="preserve">0.9995400816303</t>
  </si>
  <si>
    <t xml:space="preserve">GNAS complex locus</t>
  </si>
  <si>
    <t xml:space="preserve">DISEASE: ACTH-independent macronodular adrenal hyperplasia 1 (AIMAH1) [MIM:219080]: A rare adrenal defect characterized by multiple, bilateral, non-pigmented, benign, adrenocortical nodules. It results in excessive production of cortisol leading to ACTH-independent Cushing syndrome. Clinical manifestations of Cushing syndrome include facial and truncal obesity, abdominal striae, muscular weakness, osteoporosis, arterial hypertension, diabetes. {ECO:0000269|PubMed:12727968}. Note=The disease is caused by mutations affecting the gene represented in this entry.; DISEASE: Pseudohypoparathyroidism 1B (PHP1B) [MIM:603233]: A disorder characterized by end-organ resistance to parathyroid hormone, hypocalcemia and hyperphosphatemia. Patients affected with PHP1B lack developmental defects characteristic of Albright hereditary osteodystrophy, and typically show no other endocrine abnormalities besides resistance to PTH. {ECO:0000269|PubMed:11029463, ECO:0000269|PubMed:11067869, ECO:0000269|PubMed:11294659, ECO:0000269|PubMed:12858292, ECO:0000269|PubMed:14561710, ECO:0000269|PubMed:15592469, ECO:0000269|PubMed:15800843}. Note=The disease is caused by mutations affecting the gene represented in this entry. Most affected individuals have defects in methylation of the gene. In some cases microdeletions involving the STX16 appear to cause loss of methylation at exon A/B of GNAS, resulting in PHP1B. Paternal uniparental isodisomy have also been observed.; DISEASE: GNAS hyperfunction (GNASHYP) [MIM:139320]: This condition is characterized by increased trauma-related bleeding tendency, prolonged bleeding time, brachydactyly and mental retardation. Both the XLas isoforms and the ALEX protein are mutated which strongly reduces the interaction between them and this may allow unimpeded activation of the XLas isoforms. Note=The disease is caused by mutations affecting the gene represented in this entry.; </t>
  </si>
  <si>
    <t xml:space="preserve">chr21</t>
  </si>
  <si>
    <t xml:space="preserve">947.64</t>
  </si>
  <si>
    <t xml:space="preserve">243</t>
  </si>
  <si>
    <t xml:space="preserve">188,55</t>
  </si>
  <si>
    <t xml:space="preserve">NM_199259:exon6:c.119+1G&gt;A;NM_199260:exon6:c.119+1G&gt;A;NM_199261:exon6:c.119+1G&gt;A;uc002yip.1:exon6:c.119+1G&gt;A;uc002yiq.1:exon6:c.119+1G&gt;A;uc002yir.1:exon6:c.119+1G&gt;A;ENST00000298232:exon6:c.119+1G&gt;A;ENST00000342420:exon6:c.119+1G&gt;A;ENST00000361285:exon6:c.119+1G&gt;A</t>
  </si>
  <si>
    <t xml:space="preserve">5.11403738742454e-31</t>
  </si>
  <si>
    <t xml:space="preserve">transmembrane phosphatase with tensin homology</t>
  </si>
  <si>
    <t xml:space="preserve">FUNCTION: Could be involved in signal transduction.; </t>
  </si>
  <si>
    <t xml:space="preserve">1536.64</t>
  </si>
  <si>
    <t xml:space="preserve">92,46</t>
  </si>
  <si>
    <t xml:space="preserve">intergenic;splicing</t>
  </si>
  <si>
    <t xml:space="preserve">dist=253183;dist=34951;dist=253183;dist=34951;ENST00000540061:exon3:c.118+1G&gt;A</t>
  </si>
  <si>
    <t xml:space="preserve">1869.64</t>
  </si>
  <si>
    <t xml:space="preserve">131,56</t>
  </si>
  <si>
    <t xml:space="preserve">intergenic;intronic</t>
  </si>
  <si>
    <t xml:space="preserve">dist=253229;dist=34905;dist=253229;dist=34905</t>
  </si>
  <si>
    <t xml:space="preserve">2250.60</t>
  </si>
  <si>
    <t xml:space="preserve">57,65</t>
  </si>
  <si>
    <t xml:space="preserve">IL10RB:NM_000628:exon4:c.441delT:p.N147Kfs*120;IL10RB:uc002yrl.2:exon3:c.447delT:p.N149Kfs*120,IL10RB:uc002yri.1:exon4:c.300delT:p.N100Kfs*69,IL10RB:uc002yrk.2:exon4:c.441delT:p.N147Kfs*120,IL10RB:uc002yrh.1:exon5:c.651delT:p.N217Kfs*69;ENSG00000243646:ENST00000451065:exon2:c.252delT:p.N84Kfs*120,ENSG00000243646:ENST00000290200:exon4:c.441delT:p.N147Kfs*120</t>
  </si>
  <si>
    <t xml:space="preserve">0.000334787198614454</t>
  </si>
  <si>
    <t xml:space="preserve">interleukin 10 receptor subunit beta</t>
  </si>
  <si>
    <t xml:space="preserve">FUNCTION: Shared cell surface receptor required for the activation of five class 2 cytokines: IL10, IL22, IL26, IL28, and IFNL1. The IFNLR1/IL10RB dimer is a receptor for the cytokine ligands IFNL2 and IFNL3 and mediates their antiviral activity. The ligand/receptor complex stimulate the activation of the JAK/STAT signaling pathway leading to the expression of IFN-stimulated genes (ISG), which contribute to the antiviral state. {ECO:0000269|PubMed:12469119, ECO:0000269|PubMed:15123776}.; </t>
  </si>
  <si>
    <t xml:space="preserve">DISEASE: Inflammatory bowel disease 25 (IBD25) [MIM:612567]: A chronic, relapsing inflammation of the gastrointestinal tract with a complex etiology. It is subdivided into Crohn disease and ulcerative colitis phenotypes. Crohn disease may affect any part of the gastrointestinal tract from the mouth to the anus, but most frequently it involves the terminal ileum and colon. Bowel inflammation is transmural and discontinuous; it may contain granulomas or be associated with intestinal or perianal fistulas. In contrast, in ulcerative colitis, the inflammation is continuous and limited to rectal and colonic mucosal layers; fistulas and granulomas are not observed. Both diseases include extraintestinal inflammation of the skin, eyes, or joints. {ECO:0000269|PubMed:19890111}. Note=The disease is caused by mutations affecting the gene represented in this entry.; </t>
  </si>
  <si>
    <t xml:space="preserve">41.60</t>
  </si>
  <si>
    <t xml:space="preserve">16,4</t>
  </si>
  <si>
    <t xml:space="preserve">ENSG00000160202:ENST00000398133:exon1:c.87dupC:p.H33Pfs*9</t>
  </si>
  <si>
    <t xml:space="preserve">0.521020324207416</t>
  </si>
  <si>
    <t xml:space="preserve">crystallin alpha A</t>
  </si>
  <si>
    <t xml:space="preserve">FUNCTION: Contributes to the transparency and refractive index of the lens. Has chaperone-like activity, preventing aggregation of various proteins under a wide range of stress conditions. {ECO:0000269|PubMed:22120592}.; </t>
  </si>
  <si>
    <t xml:space="preserve">DISEASE: Note=Alpha-crystallin A 1-172 is found at nearly twofold higher levels in diabetic lenses than in age-matched control lenses. {ECO:0000269|PubMed:12356833}.; DISEASE: Cataract 9, multiple types (CTRCT9) [MIM:604219]: An opacification of the crystalline lens of the eye that frequently results in visual impairment or blindness. Opacities vary in morphology, are often confined to a portion of the lens, and may be static or progressive. In general, the more posteriorly located and dense an opacity, the greater the impact on visual function. CTRCT9 includes nuclear, zonular central nuclear, anterior polar, cortical, embryonal, anterior subcapsular, fan-shaped, and total cataracts, among others. In some cases cataract is associated with microcornea without any other systemic anomaly or dysmorphism. Microcornea is defined by a corneal diameter inferior to 10 mm in both meridians in an otherwise normal eye. {ECO:0000269|PubMed:14512969, ECO:0000269|PubMed:16453125, ECO:0000269|PubMed:18302245, ECO:0000269|PubMed:18407550, ECO:0000269|PubMed:23508780, ECO:0000269|PubMed:9467006}. Note=The disease is caused by mutations affecting the gene represented in this entry.; </t>
  </si>
  <si>
    <t xml:space="preserve">GGGGAGGGGGCGCAGA</t>
  </si>
  <si>
    <t xml:space="preserve">790.94</t>
  </si>
  <si>
    <t xml:space="preserve">8,20</t>
  </si>
  <si>
    <t xml:space="preserve">3;3</t>
  </si>
  <si>
    <t xml:space="preserve">1.87288813996797e-10</t>
  </si>
  <si>
    <t xml:space="preserve">TSPEAR antisense RNA 1;thrombospondin-type laminin G domain and EAR repeats</t>
  </si>
  <si>
    <t xml:space="preserve">FUNCTION: May play a role in development or function of the auditory system.; </t>
  </si>
  <si>
    <t xml:space="preserve">DISEASE: Deafness, autosomal recessive, 98 (DFNB98) [MIM:614861]: A form of non-syndromic sensorineural hearing loss with prelingual onset. Sensorineural deafness results from damage to the neural receptors of the inner ear, the nerve pathways to the brain, or the area of the brain that receives sound information. {ECO:0000269|PubMed:22678063}. Note=The disease is caused by mutations affecting the gene represented in this entry.; </t>
  </si>
  <si>
    <t xml:space="preserve">GTGGGG</t>
  </si>
  <si>
    <t xml:space="preserve">850.03</t>
  </si>
  <si>
    <t xml:space="preserve">0,20</t>
  </si>
  <si>
    <t xml:space="preserve">819.06</t>
  </si>
  <si>
    <t xml:space="preserve">0,19</t>
  </si>
  <si>
    <t xml:space="preserve">482.64</t>
  </si>
  <si>
    <t xml:space="preserve">0.726099073608303</t>
  </si>
  <si>
    <t xml:space="preserve">disco interacting protein 2 homolog A</t>
  </si>
  <si>
    <t xml:space="preserve">FUNCTION: May provide positional cues for axon pathfinding and patterning in the central nervous system.; </t>
  </si>
  <si>
    <t xml:space="preserve">2796.60</t>
  </si>
  <si>
    <t xml:space="preserve">177</t>
  </si>
  <si>
    <t xml:space="preserve">102,75</t>
  </si>
  <si>
    <t xml:space="preserve">DIP2A:NM_001146115:exon7:c.904_905del:p.Q303Afs*23,DIP2A:NM_001353944:exon7:c.784_785del:p.Q263Afs*23,DIP2A:NM_001146116:exon8:c.1021_1022del:p.Q342Afs*23,DIP2A:NM_001353942:exon8:c.1036_1037del:p.Q347Afs*23,DIP2A:NM_001353943:exon8:c.1033_1034del:p.Q346Afs*23,DIP2A:NM_015151:exon8:c.1033_1034del:p.Q346Afs*23,DIP2A:NM_206889:exon8:c.1033_1034del:p.Q346Afs*23,DIP2A:NM_206890:exon8:c.1033_1034del:p.Q346Afs*23,DIP2A:NM_206891:exon8:c.1033_1034del:p.Q346Afs*23;DIP2A:uc002zjp.1:exon3:c.268_269del:p.Q91Afs*23,DIP2A:uc011afy.1:exon6:c.841_842del:p.Q282Afs*23,DIP2A:uc010gql.3:exon7:c.904_905del:p.Q303Afs*23,DIP2A:uc002zjl.3:exon8:c.1033_1034del:p.Q346Afs*23,DIP2A:uc002zjm.3:exon8:c.1033_1034del:p.Q346Afs*23,DIP2A:uc002zjn.3:exon8:c.1033_1034del:p.Q346Afs*23,DIP2A:uc002zjo.2:exon8:c.1033_1034del:p.Q346Afs*23,DIP2A:uc011afz.1:exon8:c.1021_1022del:p.Q342Afs*23;ENSG00000160305:ENST00000427143:exon6:c.841_842del:p.Q282Afs*23,ENSG00000160305:ENST00000466639:exon7:c.904_905del:p.Q303Afs*23,ENSG00000160305:ENST00000318711:exon8:c.1036_1037del:p.Q347Afs*23,ENSG00000160305:ENST00000400274:exon8:c.1021_1022del:p.Q342Afs*23,ENSG00000160305:ENST00000417564:exon8:c.1033_1034del:p.Q346Afs*23,ENSG00000160305:ENST00000435722:exon8:c.1033_1034del:p.Q346Afs*23,ENSG00000160305:ENST00000457905:exon8:c.1033_1034del:p.Q346Afs*23</t>
  </si>
  <si>
    <t xml:space="preserve">1188.64</t>
  </si>
  <si>
    <t xml:space="preserve">42,45</t>
  </si>
  <si>
    <t xml:space="preserve">0.676974716705773</t>
  </si>
  <si>
    <t xml:space="preserve">gamma-glutamyltransferase 1</t>
  </si>
  <si>
    <t xml:space="preserve">FUNCTION: Cleaves the gamma-glutamyl bond of extracellular glutathione (gamma-Glu-Cys-Gly), glutathione conjugates, and other gamma-glutamyl compounds. The metabolism of glutathione releases free glutamate and the dipeptide, cysteinyl-glycine, which is hydrolyzed to cysteine and glycine by dipeptidases. In the presence of high concentrations of dipeptides and some amino acids, can also catalyze a transpeptidation reaction, transferring the gamma-glutamyl moiety to an acceptor amino acid to form a new gamma-glutamyl compound. Initiates extracellular glutathione (GSH) breakdown, provides cells with a local cysteine supply and contributes to maintain intracellular GSH level. It is part of the cell antioxidant defense mechanism. Isoform 3 seems to be inactive. {ECO:0000269|PubMed:20622017, ECO:0000269|PubMed:24047895, ECO:0000269|PubMed:7673200, ECO:0000269|PubMed:7759490, ECO:0000269|PubMed:8095045, ECO:0000269|PubMed:8827453}.; </t>
  </si>
  <si>
    <t xml:space="preserve">DISEASE: Glutathionuria (GLUTH) [MIM:231950]: Autosomal recessive disease. Note=The disease is caused by mutations affecting the gene represented in this entry.; </t>
  </si>
  <si>
    <t xml:space="preserve">177.64</t>
  </si>
  <si>
    <t xml:space="preserve">130,21</t>
  </si>
  <si>
    <t xml:space="preserve">1141.64</t>
  </si>
  <si>
    <t xml:space="preserve">196</t>
  </si>
  <si>
    <t xml:space="preserve">135,61</t>
  </si>
  <si>
    <t xml:space="preserve">507.64</t>
  </si>
  <si>
    <t xml:space="preserve">218</t>
  </si>
  <si>
    <t xml:space="preserve">182,36</t>
  </si>
  <si>
    <t xml:space="preserve">1538.64</t>
  </si>
  <si>
    <t xml:space="preserve">64,60</t>
  </si>
  <si>
    <t xml:space="preserve">5.59567327026563e-05</t>
  </si>
  <si>
    <t xml:space="preserve">SEC14 like lipid binding 4</t>
  </si>
  <si>
    <t xml:space="preserve">FUNCTION: Probable hydrophobic ligand-binding protein; may play a role in the transport of hydrophobic ligands like tocopherol, squalene and phospholipids.; </t>
  </si>
  <si>
    <t xml:space="preserve">511.64</t>
  </si>
  <si>
    <t xml:space="preserve">6,15</t>
  </si>
  <si>
    <t xml:space="preserve">UTR5;intronic</t>
  </si>
  <si>
    <t xml:space="preserve">uc003amv.3:c.-58A&gt;G</t>
  </si>
  <si>
    <t xml:space="preserve">0.0987224228672443</t>
  </si>
  <si>
    <t xml:space="preserve">F-box protein 7</t>
  </si>
  <si>
    <t xml:space="preserve">FUNCTION: Substrate recognition component of a SCF (SKP1-CUL1-F- box protein) E3 ubiquitin-protein ligase complex which mediates the ubiquitination and subsequent proteasomal degradation of target proteins. Recognizes BIRC2 and DLGAP5. Plays a role downstream of PINK1 in the clearance of damaged mitochondria via selective autophagy (mitophagy) by targeting PARK2 to dysfunctional depolarized mitochondria. Promotes MFN1 ubiquitination. {ECO:0000269|PubMed:15145941, ECO:0000269|PubMed:16510124, ECO:0000269|PubMed:23933751}.; </t>
  </si>
  <si>
    <t xml:space="preserve">DISEASE: Parkinson disease 15 (PARK15) [MIM:260300]: A neurodegenerative disorder characterized by parkinsonian and pyramidal signs. Clinical manifestations include tremor, bradykinesia, rigidity, postural instability, spasticity, mainly in the lower limbs, and hyperreflexia. {ECO:0000269|PubMed:18513678}. Note=The disease is caused by mutations affecting the gene represented in this entry.; </t>
  </si>
  <si>
    <t xml:space="preserve">31.60</t>
  </si>
  <si>
    <t xml:space="preserve">7.89904665161403e-06</t>
  </si>
  <si>
    <t xml:space="preserve">neutrophil cytosolic factor 4</t>
  </si>
  <si>
    <t xml:space="preserve">FUNCTION: Component of the NADPH-oxidase, a multicomponent enzyme system responsible for the oxidative burst in which electrons are transported from NADPH to molecular oxygen, generating reactive oxidant intermediates. It may be important for the assembly and/or activation of the NADPH-oxidase complex. {ECO:0000269|PubMed:8280052}.; </t>
  </si>
  <si>
    <t xml:space="preserve">DISEASE: Granulomatous disease, chronic, cytochrome-b-positive 3, autosomal recessive (CGD3) [MIM:613960]: A disorder characterized by the inability of neutrophils and phagocytes to kill microbes that they have ingested. Patients suffer from life-threatening bacterial/fungal infections. {ECO:0000269|PubMed:19692703}. Note=The disease is caused by mutations affecting the gene represented in this entry.; </t>
  </si>
  <si>
    <t xml:space="preserve">260.64</t>
  </si>
  <si>
    <t xml:space="preserve">3,8</t>
  </si>
  <si>
    <t xml:space="preserve">0.999999999999484</t>
  </si>
  <si>
    <t xml:space="preserve">E1A binding protein p300</t>
  </si>
  <si>
    <t xml:space="preserve">FUNCTION: Functions as histone acetyltransferase and regulates transcription via chromatin remodeling. Acetylates all four core histones in nucleosomes. Histone acetylation gives an epigenetic tag for transcriptional activation. Mediates cAMP-gene regulation by binding specifically to phosphorylated CREB protein. Mediates acetylation of histone H3 at 'Lys-122' (H3K122ac), a modification that localizes at the surface of the histone octamer and stimulates transcription, possibly by promoting nucleosome instability. Mediates acetylation of histone H3 at 'Lys-27' (H3K27ac). Also functions as acetyltransferase for nonhistone targets. Acetylates 'Lys-131' of ALX1 and acts as its coactivator. Acetylates SIRT2 and is proposed to indirectly increase the transcriptional activity of TP53 through acetylation and subsequent attenuation of SIRT2 deacetylase function. Acetylates HDAC1 leading to its inactivation and modulation of transcription. Acts as a TFAP2A-mediated transcriptional coactivator in presence of CITED2. Plays a role as a coactivator of NEUROD1-dependent transcription of the secretin and p21 genes and controls terminal differentiation of cells in the intestinal epithelium. Promotes cardiac myocyte enlargement. Can also mediate transcriptional repression. Binds to and may be involved in the transforming capacity of the adenovirus E1A protein. In case of HIV-1 infection, it is recruited by the viral protein Tat. Regulates Tat's transactivating activity and may help inducing chromatin remodeling of proviral genes. Acetylates FOXO1 and enhances its transcriptional activity. Acetylates BCL6 wich disrupts its ability to recruit histone deacetylases and hinders its transcriptional repressor activity. Participates in CLOCK or NPAS2-regulated rhythmic gene transcription; exhibits a circadian association with CLOCK or NPAS2, correlating with increase in PER1/2 mRNA and histone H3 acetylation on the PER1/2 promoter. Acetylates MTA1 at 'Lys-626' which is essential for its transcriptional coactivator activity (PubMed:10733570, PubMed:11430825, PubMed:11701890, PubMed:12402037, PubMed:12586840, PubMed:12929931, PubMed:14645221, PubMed:15186775, PubMed:15890677, PubMed:16617102, PubMed:16762839, PubMed:18722353, PubMed:18995842, PubMed:23415232, PubMed:23911289, PubMed:23934153, PubMed:8945521). Acetylates XBP1 isoform 2; acetylation increases protein stability of XBP1 isoform 2 and enhances its transcriptional activity (PubMed:20955178). Acetylates PCNA; acetylation promotes removal of chromatin-bound PCNA and its degradation during nucleotide excision repair (NER) (PubMed:24939902). Acetylates MEF2D. {ECO:0000269|PubMed:10733570, ECO:0000269|PubMed:11430825, ECO:0000269|PubMed:11701890, ECO:0000269|PubMed:12402037, ECO:0000269|PubMed:12586840, ECO:0000269|PubMed:12929931, ECO:0000269|PubMed:14645221, ECO:0000269|PubMed:15186775, ECO:0000269|PubMed:15890677, ECO:0000269|PubMed:16617102, ECO:0000269|PubMed:16762839, ECO:0000269|PubMed:18722353, ECO:0000269|PubMed:18995842, ECO:0000269|PubMed:21030595, ECO:0000269|PubMed:23415232, ECO:0000269|PubMed:23911289, ECO:0000269|PubMed:23934153, ECO:0000269|PubMed:24939902, ECO:0000269|PubMed:8945521, ECO:0000305|PubMed:20955178}.; </t>
  </si>
  <si>
    <t xml:space="preserve">DISEASE: Note=Defects in EP300 may play a role in epithelial cancer.; DISEASE: Note=Chromosomal aberrations involving EP300 may be a cause of acute myeloid leukemias. Translocation t(8;22)(p11;q13) with KAT6A.; DISEASE: Rubinstein-Taybi syndrome 2 (RSTS2) [MIM:613684]: A disorder characterized by craniofacial abnormalities, postnatal growth deficiency, broad thumbs, broad big toes, mental retardation and a propensity for development of malignancies. Some individuals with RSTS2 have less severe mental impairment, more severe microcephaly, and a greater degree of changes in facial bone structure than RSTS1 patients. {ECO:0000269|PubMed:15706485}. Note=The disease is caused by mutations affecting the gene represented in this entry.; </t>
  </si>
  <si>
    <t xml:space="preserve">2589.64</t>
  </si>
  <si>
    <t xml:space="preserve">208</t>
  </si>
  <si>
    <t xml:space="preserve">109,99</t>
  </si>
  <si>
    <t xml:space="preserve">NM_001362843:c.*69A&gt;C;NM_001429:c.*69A&gt;C;uc003azl.4:c.*69A&gt;C</t>
  </si>
  <si>
    <t xml:space="preserve">TCACACACACA</t>
  </si>
  <si>
    <t xml:space="preserve">0</t>
  </si>
  <si>
    <t xml:space="preserve">857.01</t>
  </si>
  <si>
    <t xml:space="preserve">0,19,25</t>
  </si>
  <si>
    <t xml:space="preserve">NM_001362843:c.*924_*934delins0;NM_001429:c.*924_*934delins0;uc003azl.4:c.*924_*934delins0</t>
  </si>
  <si>
    <t xml:space="preserve">CACACA</t>
  </si>
  <si>
    <t xml:space="preserve">NM_001362843:c.*929_*934delCACACA;NM_001429:c.*929_*934delCACACA;uc003azl.4:c.*929_*934delCACACA</t>
  </si>
  <si>
    <t xml:space="preserve">110.64</t>
  </si>
  <si>
    <t xml:space="preserve">6,4</t>
  </si>
  <si>
    <t xml:space="preserve">0.745162923489296</t>
  </si>
  <si>
    <t xml:space="preserve">ataxin 10</t>
  </si>
  <si>
    <t xml:space="preserve">FUNCTION: Necessary for the survival of cerebellar neurons. Induces neuritogenesis by activating the Ras-MAP kinase pathway. May play a role in the maintenance of a critical intracellular glycosylation level and homeostasis. {ECO:0000250}.; </t>
  </si>
  <si>
    <t xml:space="preserve">DISEASE: Note=Defects in ATXN1 may be a cause of nephronophthisis a chronic tubulo-interstitial nephropathy that leads to anemia, polyuria, polydipsia, isosthenuria and death in uremia. {ECO:0000269|PubMed:21565611}.; </t>
  </si>
  <si>
    <t xml:space="preserve">1436.64</t>
  </si>
  <si>
    <t xml:space="preserve">61,56</t>
  </si>
  <si>
    <t xml:space="preserve">dist=36618;dist=10147</t>
  </si>
  <si>
    <t xml:space="preserve">tubulin tyrosine ligase like 8</t>
  </si>
  <si>
    <t xml:space="preserve">FUNCTION: Monoglycylase which modifies both tubulin and non- tubulin proteins, generating side chains of glycine on the gamma- carboxyl groups of specific glutamate residues of target proteins. Monoglycylates tubulin, with a preference for alpha-tubulin toward beta-tubulin. Has the ability to modify non-tubulin proteins such as ANP32A, ANP32B, SET and NCL. Involved in the side-chain initiation step of the glycylation reaction by adding a single glycine chain to generate monoglycine side chains. Not involved in elongation step of the polyglycylation reaction (By similarity). {ECO:0000250}.; </t>
  </si>
  <si>
    <t xml:space="preserve">621.64</t>
  </si>
  <si>
    <t xml:space="preserve">49</t>
  </si>
  <si>
    <t xml:space="preserve">26,23</t>
  </si>
  <si>
    <t xml:space="preserve">0.931187268796145</t>
  </si>
  <si>
    <t xml:space="preserve">TraB domain containing</t>
  </si>
  <si>
    <t xml:space="preserve">35.60</t>
  </si>
  <si>
    <t xml:space="preserve">36,6</t>
  </si>
  <si>
    <t xml:space="preserve">NM_207351:exon2:UTR5;NM_001318871:exon2:UTR5;uc003bul.2:exon2:UTR5;uc003bum.3:exon2:UTR5;ENST00000412055:exon2:UTR5;ENST00000295984:exon2:UTR5;ENST00000411976:exon2:UTR5</t>
  </si>
  <si>
    <t xml:space="preserve">0.658018522445195</t>
  </si>
  <si>
    <t xml:space="preserve">proline rich transmembrane protein 3</t>
  </si>
  <si>
    <t xml:space="preserve">21,15</t>
  </si>
  <si>
    <t xml:space="preserve">2.72979618994274e-18</t>
  </si>
  <si>
    <t xml:space="preserve">ALS2 C-terminal like</t>
  </si>
  <si>
    <t xml:space="preserve">FUNCTION: Acts as a guanine nucleotide exchange factor (GEF) for Rab5 GTPase. Regulates the ALS2-mediated endosome dynamics. {ECO:0000269|PubMed:15388334, ECO:0000269|PubMed:16473597, ECO:0000269|PubMed:17239822}.; </t>
  </si>
  <si>
    <t xml:space="preserve">793.60</t>
  </si>
  <si>
    <t xml:space="preserve">37,34</t>
  </si>
  <si>
    <t xml:space="preserve">709.64</t>
  </si>
  <si>
    <t xml:space="preserve">49,35</t>
  </si>
  <si>
    <t xml:space="preserve">UTR5;ncRNA_intronic</t>
  </si>
  <si>
    <t xml:space="preserve">uc003ctj.3:c.-44C&gt;G;uc010hka.4:c.-44C&gt;G;ENST00000422277:c.-44C&gt;G</t>
  </si>
  <si>
    <t xml:space="preserve">500.02</t>
  </si>
  <si>
    <t xml:space="preserve">2,16,18</t>
  </si>
  <si>
    <t xml:space="preserve">ENSG00000004534:ENST00000454079:exon14:c.2058dupT:p.Y694Lfs*81</t>
  </si>
  <si>
    <t xml:space="preserve">0.999999963583324</t>
  </si>
  <si>
    <t xml:space="preserve">RNA binding motif protein 6</t>
  </si>
  <si>
    <t xml:space="preserve">FUNCTION: Specifically binds poly(G) RNA homopolymers in vitro.; </t>
  </si>
  <si>
    <t xml:space="preserve">699.64</t>
  </si>
  <si>
    <t xml:space="preserve">26,28</t>
  </si>
  <si>
    <t xml:space="preserve">ncRNA_intronic</t>
  </si>
  <si>
    <t xml:space="preserve">C3orf67 antisense RNA 1</t>
  </si>
  <si>
    <t xml:space="preserve">37,7</t>
  </si>
  <si>
    <t xml:space="preserve">TRMT10C:NM_017819:exon2:c.384dupA:p.Y132Ifs*15;TRMT10C:uc021xbw.1:exon1:c.384dupA:p.Y132Ifs*15,TRMT10C:uc003duz.4:exon2:c.384dupA:p.Y132Ifs*15;ENSG00000174173:ENST00000309922:exon2:c.384dupA:p.Y132Ifs*15,ENSG00000174173:ENST00000495642:exon2:c.384dupA:p.Y132Ifs*15</t>
  </si>
  <si>
    <t xml:space="preserve">1.05912396335495e-05</t>
  </si>
  <si>
    <t xml:space="preserve">tRNA methyltransferase 10C, mitochondrial RNase P subunit</t>
  </si>
  <si>
    <t xml:space="preserve">FUNCTION: Functions in mitochondrial tRNA maturation. Part of mitochondrial ribonuclease P, an enzyme composed of MRPP1/RG9MTD1, MRPP2/HSD17B10 and MRPP3/KIAA0391, which cleaves tRNA molecules in their 5'-ends. {ECO:0000269|PubMed:18984158, ECO:0000269|PubMed:21593607}.; </t>
  </si>
  <si>
    <t xml:space="preserve">32.60</t>
  </si>
  <si>
    <t xml:space="preserve">93,17</t>
  </si>
  <si>
    <t xml:space="preserve">ENSG00000091986:ENST00000479368:exon1:c.50dupT:p.W18Lfs*8</t>
  </si>
  <si>
    <t xml:space="preserve">0.00584309877267669</t>
  </si>
  <si>
    <t xml:space="preserve">coiled-coil domain containing 80</t>
  </si>
  <si>
    <t xml:space="preserve">FUNCTION: Promotes cell adhesion and matrix assembly. {ECO:0000250}.; </t>
  </si>
  <si>
    <t xml:space="preserve">193.64</t>
  </si>
  <si>
    <t xml:space="preserve">15,7</t>
  </si>
  <si>
    <t xml:space="preserve">0.993000949687577</t>
  </si>
  <si>
    <t xml:space="preserve">karyopherin subunit alpha 1</t>
  </si>
  <si>
    <t xml:space="preserve">FUNCTION: Functions in nuclear protein import as an adapter protein for nuclear receptor KPNB1. Binds specifically and directly to substrates containing either a simple or bipartite NLS motif. Docking of the importin/substrate complex to the nuclear pore complex (NPC) is mediated by KPNB1 through binding to nucleoporin FxFG repeats and the complex is subsequently translocated through the pore by an energy requiring, Ran- dependent mechanism. At the nucleoplasmic side of the NPC, Ran binds to importin-beta and the three components separate and importin-alpha and -beta are re-exported from the nucleus to the cytoplasm where GTP hydrolysis releases Ran from importin. The directionality of nuclear import is thought to be conferred by an asymmetric distribution of the GTP- and GDP-bound forms of Ran between the cytoplasm and nucleus. In vitro, mediates the nuclear import of human cytomegalovirus UL84 by recognizing a non- classical NLS.; </t>
  </si>
  <si>
    <t xml:space="preserve">556.64</t>
  </si>
  <si>
    <t xml:space="preserve">65</t>
  </si>
  <si>
    <t xml:space="preserve">44,21</t>
  </si>
  <si>
    <t xml:space="preserve">0.998398641021365</t>
  </si>
  <si>
    <t xml:space="preserve">EPH receptor B1</t>
  </si>
  <si>
    <t xml:space="preserve">FUNCTION: Receptor tyrosine kinase which binds promiscuously transmembrane ephrin-B family ligands residing on adjacent cells, leading to contact-dependent bidirectional signaling into neighboring cells. The signaling pathway downstream of the receptor is referred to as forward signaling while the signaling pathway downstream of the ephrin ligand is referred to as reverse signaling. Cognate/functional ephrin ligands for this receptor include EFNB1, EFNB2 and EFNB3. During nervous system development, regulates retinal axon guidance redirecting ipsilaterally ventrotemporal retinal ganglion cells axons at the optic chiasm midline. This probably requires repulsive interaction with EFNB2. In the adult nervous system together with EFNB3, regulates chemotaxis, proliferation and polarity of the hippocampus neural progenitors. In addition to its role in axon guidance plays also an important redundant role with other ephrin-B receptors in development and maturation of dendritic spines and synapse formation. May also regulate angiogenesis. More generally, may play a role in targeted cell migration and adhesion. Upon activation by EFNB1 and probably other ephrin-B ligands activates the MAPK/ERK and the JNK signaling cascades to regulate cell migration and adhesion respectively. {ECO:0000269|PubMed:12223469, ECO:0000269|PubMed:12925710, ECO:0000269|PubMed:18034775, ECO:0000269|PubMed:9430661, ECO:0000269|PubMed:9499402}.; </t>
  </si>
  <si>
    <t xml:space="preserve">62.60</t>
  </si>
  <si>
    <t xml:space="preserve">21,6</t>
  </si>
  <si>
    <t xml:space="preserve">ENSG00000175066:ENST00000487672:exon4:c.456dupT:p.L153Sfs*6</t>
  </si>
  <si>
    <t xml:space="preserve">0.519887601252046</t>
  </si>
  <si>
    <t xml:space="preserve">glycerol kinase 5 (putative)</t>
  </si>
  <si>
    <t xml:space="preserve">1764.64</t>
  </si>
  <si>
    <t xml:space="preserve">61,68</t>
  </si>
  <si>
    <t xml:space="preserve">UTR3;intronic;ncRNA_exonic</t>
  </si>
  <si>
    <t xml:space="preserve">uc003euy.1:c.*2659G&gt;A</t>
  </si>
  <si>
    <t xml:space="preserve">0.701297833041861</t>
  </si>
  <si>
    <t xml:space="preserve">ATR serine/threonine kinase</t>
  </si>
  <si>
    <t xml:space="preserve">FUNCTION: Serine/threonine protein kinase which activates checkpoint signaling upon genotoxic stresses such as ionizing radiation (IR), ultraviolet light (UV), or DNA replication stalling, thereby acting as a DNA damage sensor. Recognizes the substrate consensus sequence [ST]-Q. Phosphorylates BRCA1, CHEK1, MCM2, RAD17, RPA2, SMC1 and p53/TP53, which collectively inhibit DNA replication and mitosis and promote DNA repair, recombination and apoptosis. Phosphorylates 'Ser-139' of histone variant H2AX/H2AFX at sites of DNA damage, thereby regulating DNA damage response mechanism. Required for FANCD2 ubiquitination. Critical for maintenance of fragile site stability and efficient regulation of centrosome duplication. {ECO:0000269|PubMed:10597277, ECO:0000269|PubMed:10608806, ECO:0000269|PubMed:10859164, ECO:0000269|PubMed:11114888, ECO:0000269|PubMed:11418864, ECO:0000269|PubMed:11673449, ECO:0000269|PubMed:11721054, ECO:0000269|PubMed:11865061, ECO:0000269|PubMed:12526805, ECO:0000269|PubMed:12791985, ECO:0000269|PubMed:12814551, ECO:0000269|PubMed:14657349, ECO:0000269|PubMed:14729973, ECO:0000269|PubMed:14742437, ECO:0000269|PubMed:15210935, ECO:0000269|PubMed:15314022, ECO:0000269|PubMed:15496423, ECO:0000269|PubMed:16260606, ECO:0000269|PubMed:21144835, ECO:0000269|PubMed:9427750, ECO:0000269|PubMed:9636169, ECO:0000269|PubMed:9925639}.; </t>
  </si>
  <si>
    <t xml:space="preserve">DISEASE: Seckel syndrome 1 (SCKL1) [MIM:210600]: A rare autosomal recessive disorder characterized by proportionate dwarfism of prenatal onset associated with low birth weight, growth retardation, severe microcephaly with a bird-headed like appearance, and mental retardation. {ECO:0000269|PubMed:12640452}. Note=The disease is caused by mutations affecting the gene represented in this entry.; DISEASE: Cutaneous telangiectasia and cancer syndrome, familial (FCTCS) [MIM:614564]: A disease characterized by cutaneous telangiectases in infancy with patchy alopecia over areas of affected skin, thinning of the lateral eyebrows, and mild dental and nail anomalies. Affected individuals are at increased risk of developing oropharyngeal cancer, and other malignancies have been reported as well. {ECO:0000269|PubMed:22341969}. Note=The disease is caused by mutations affecting the gene represented in this entry.; </t>
  </si>
  <si>
    <t xml:space="preserve">23,33</t>
  </si>
  <si>
    <t xml:space="preserve">0.999999985029909</t>
  </si>
  <si>
    <t xml:space="preserve">fibronectin type III domain containing 3B</t>
  </si>
  <si>
    <t xml:space="preserve">FUNCTION: May be a positive regulator of adipogenesis. {ECO:0000269|PubMed:15564382}.; </t>
  </si>
  <si>
    <t xml:space="preserve">825.64</t>
  </si>
  <si>
    <t xml:space="preserve">75</t>
  </si>
  <si>
    <t xml:space="preserve">44,31</t>
  </si>
  <si>
    <t xml:space="preserve">4.17299309157391e-08</t>
  </si>
  <si>
    <t xml:space="preserve">kininogen 1</t>
  </si>
  <si>
    <t xml:space="preserve">FUNCTION: (1) Kininogens are inhibitors of thiol proteases; (2) HMW-kininogen plays an important role in blood coagulation by helping to position optimally prekallikrein and factor XI next to factor XII; (3) HMW-kininogen inhibits the thrombin- and plasmin- induced aggregation of thrombocytes; (4) the active peptide bradykinin that is released from HMW-kininogen shows a variety of physiological effects: (4A) influence in smooth muscle contraction, (4B) induction of hypotension, (4C) natriuresis and diuresis, (4D) decrease in blood glucose level, (4E) it is a mediator of inflammation and causes (4E1) increase in vascular permeability, (4E2) stimulation of nociceptors (4E3) release of other mediators of inflammation (e.g. prostaglandins), (4F) it has a cardioprotective effect (directly via bradykinin action, indirectly via endothelium-derived relaxing factor action); (5) LMW-kininogen inhibits the aggregation of thrombocytes; (6) LMW- kininogen is in contrast to HMW-kininogen not involved in blood clotting.; </t>
  </si>
  <si>
    <t xml:space="preserve">DISEASE: High molecular weight kininogen deficiency (HMWK deficiency) [MIM:228960]: Autosomal recessive coagulation defect. Patients with HWMK deficiency do not have a hemorrhagic tendency, but they exhibit abnormal surface-mediated activation of fibrinolysis. Note=The disease is caused by mutations affecting the gene represented in this entry.; </t>
  </si>
  <si>
    <t xml:space="preserve">2734.02</t>
  </si>
  <si>
    <t xml:space="preserve">1,21,47</t>
  </si>
  <si>
    <t xml:space="preserve">6.07648654021509e-10</t>
  </si>
  <si>
    <t xml:space="preserve">ATP13A4 antisense RNA 1;ATPase 13A4</t>
  </si>
  <si>
    <t xml:space="preserve">DISEASE: Note=A chromosomal aberration involving ATP13A4 is found in 2 patients with specific language impairment (SLI) disorders. Paracentric inversion inv(3)(q25;q29). The inversion produces a disruption of the protein. {ECO:0000269|PubMed:15925480}.; </t>
  </si>
  <si>
    <t xml:space="preserve">CCTTG</t>
  </si>
  <si>
    <t xml:space="preserve">567.60</t>
  </si>
  <si>
    <t xml:space="preserve">94</t>
  </si>
  <si>
    <t xml:space="preserve">75,19</t>
  </si>
  <si>
    <t xml:space="preserve">ABCA11P:uc011buv.2:exon4:c.266_269del:p.S89*;ENSG00000182903:ENST00000506646:exon4:c.266_269del:p.S89*</t>
  </si>
  <si>
    <t xml:space="preserve">ATP binding cassette subfamily A member 11, pseudogene</t>
  </si>
  <si>
    <t xml:space="preserve">518.64</t>
  </si>
  <si>
    <t xml:space="preserve">13,16</t>
  </si>
  <si>
    <t xml:space="preserve">1.62565147164988e-13</t>
  </si>
  <si>
    <t xml:space="preserve">phosphodiesterase 6B</t>
  </si>
  <si>
    <t xml:space="preserve">FUNCTION: This protein participates in processes of transmission and amplification of the visual signal. Necessary for the formation of a functional phosphodiesterase holoenzyme.; </t>
  </si>
  <si>
    <t xml:space="preserve">DISEASE: Retinitis pigmentosa 40 (RP40) [MIM:613801]: A retinal dystrophy belonging to the group of pigmentary retinopathies. Retinitis pigmentosa is characterized by retinal pigment deposits visible on fundus examination and primary loss of rod photoreceptor cells followed by secondary loss of cone photoreceptors. Patients typically have night vision blindness and loss of midperipheral visual field. As their condition progresses, they lose their far peripheral visual field and eventually central vision as well. {ECO:0000269|PubMed:22334370, ECO:0000269|PubMed:8394174, ECO:0000269|PubMed:8557257, ECO:0000269|PubMed:8595886, ECO:0000269|PubMed:8698075, ECO:0000269|PubMed:8956055, ECO:0000269|PubMed:9543643}. Note=The disease is caused by mutations affecting the gene represented in this entry.; DISEASE: Night blindness, congenital stationary, autosomal dominant 2 (CSNBAD2) [MIM:163500]: A non-progressive retinal disorder characterized by impaired night vision, often associated with nystagmus and myopia. {ECO:0000269|PubMed:8075643}. Note=The disease is caused by mutations affecting the gene represented in this entry.; </t>
  </si>
  <si>
    <t xml:space="preserve">TGCCCATGTGGAGTGCCCGCCTGCTCACACA</t>
  </si>
  <si>
    <t xml:space="preserve">3277.60</t>
  </si>
  <si>
    <t xml:space="preserve">193</t>
  </si>
  <si>
    <t xml:space="preserve">88,105</t>
  </si>
  <si>
    <t xml:space="preserve">dist=6513;dist=8370;CRIPAK:uc003gdf.2:exon1:c.51_52insTGCCCATGTGGAGTGCCCGCCTGCTCACACA:p.C27Hfs*391;ENSG00000179979:ENST00000324803:exon1:c.51_52insTGCCCATGTGGAGTGCCCGCCTGCTCACACA:p.C27Hfs*391</t>
  </si>
  <si>
    <t xml:space="preserve">2.43127197997244e-12</t>
  </si>
  <si>
    <t xml:space="preserve">cysteine rich PAK1 inhibitor</t>
  </si>
  <si>
    <t xml:space="preserve">FUNCTION: Negative regulator of PAK1. It has been suggested that the lost of CRIPAK in breast tumors might contribute to hormonal independence. {ECO:0000269|PubMed:16278681}.; </t>
  </si>
  <si>
    <t xml:space="preserve">GTGGAGTGCCCGCCTGCTCACACGTGCCCAT</t>
  </si>
  <si>
    <t xml:space="preserve">1318.60</t>
  </si>
  <si>
    <t xml:space="preserve">55,46</t>
  </si>
  <si>
    <t xml:space="preserve">dist=6951;dist=7932;CRIPAK:uc003gdf.2:exon1:c.489_490insGTGGAGTGCCCGCCTGCTCACACGTGCCCAT:p.T184Mfs*234;ENSG00000179979:ENST00000324803:exon1:c.489_490insGTGGAGTGCCCGCCTGCTCACACGTGCCCAT:p.T184Mfs*234</t>
  </si>
  <si>
    <t xml:space="preserve">GTGG</t>
  </si>
  <si>
    <t xml:space="preserve">3086.60</t>
  </si>
  <si>
    <t xml:space="preserve">85,87</t>
  </si>
  <si>
    <t xml:space="preserve">dist=7107;dist=7773;CRIPAK:uc003gdf.2:exon1:c.645_648del:p.M215Ifs*213;ENSG00000179979:ENST00000324803:exon1:c.645_648del:p.M215Ifs*213</t>
  </si>
  <si>
    <t xml:space="preserve">GTGTTCGCCTGCTCACACGTGCCGATGCGGAGTGCCCGCCTGCTCACACGTGCCGATGCGGAGTGCCCGCCTGCTCACACGTGCCCATG</t>
  </si>
  <si>
    <t xml:space="preserve">2942.60</t>
  </si>
  <si>
    <t xml:space="preserve">132,85</t>
  </si>
  <si>
    <t xml:space="preserve">dist=7112;dist=7683;CRIPAK:uc003gdf.2:exon1:c.650_738del:p.S217Mfs*161;ENSG00000179979:ENST00000324803:exon1:c.650_738del:p.S217Mfs*161</t>
  </si>
  <si>
    <t xml:space="preserve">112.64</t>
  </si>
  <si>
    <t xml:space="preserve">7,4</t>
  </si>
  <si>
    <t xml:space="preserve">0.999999325434983</t>
  </si>
  <si>
    <t xml:space="preserve">Wolf-Hirschhorn syndrome candidate 1</t>
  </si>
  <si>
    <t xml:space="preserve">FUNCTION: Histone methyltransferase with histone H3 'Lys-27' (H3K27me) methyltransferase activity. Isoform RE-IIBP may act as a transcription regulator that binds DNA and suppresses IL5 transcription through HDAC recruitment. {ECO:0000269|PubMed:11152655, ECO:0000269|PubMed:16115125, ECO:0000269|PubMed:18172012}.; </t>
  </si>
  <si>
    <t xml:space="preserve">DISEASE: Note=WHSC1 is located in the Wolf-Hirschhorn syndrome (WHS) critical region. WHS results from by sub-telomeric deletions in the short arm of chromosome 4. WHSC1 is deleted in every case, however deletion of linked genes contributes to both the severity of the core characteristics and the presence of the additional syndromic problems.; </t>
  </si>
  <si>
    <t xml:space="preserve">CT</t>
  </si>
  <si>
    <t xml:space="preserve">193,27</t>
  </si>
  <si>
    <t xml:space="preserve">C4orf50:NM_001364690:exon5:c.2366_2367del:p.E789Gfs*11,C4orf50:NM_001364689:exon6:c.2903_2904del:p.E968Gfs*11;ENSG00000181215:ENST00000531445:exon1:c.629_630del:p.E210Gfs*11</t>
  </si>
  <si>
    <t xml:space="preserve">6.34225080498418e-10</t>
  </si>
  <si>
    <t xml:space="preserve">chromosome 4 open reading frame 50</t>
  </si>
  <si>
    <t xml:space="preserve">1109.64</t>
  </si>
  <si>
    <t xml:space="preserve">62</t>
  </si>
  <si>
    <t xml:space="preserve">27,35</t>
  </si>
  <si>
    <t xml:space="preserve">1.71991707578293e-05</t>
  </si>
  <si>
    <t xml:space="preserve">HtrA serine peptidase 3</t>
  </si>
  <si>
    <t xml:space="preserve">FUNCTION: Serine protease that cleaves beta-casein/CSN2 as well as several extracellular matrix (ECM) proteoglycans such as decorin/DCN, biglycan/BGN and fibronectin/FN1. Inhibits signaling mediated by TGF-beta family proteins possibly indirectly by degradation of these ECM proteoglycans (By similarity). May act as a tumor suppressor. Negatively regulates, in vitro, trophoblast invasion during placental development and may be involved in the development of the placenta in vivo. May also have a role in ovarian development, granulosa cell differentiation and luteinization (PubMed:21321049, PubMed:22229724). {ECO:0000250|UniProtKB:Q9D236, ECO:0000269|PubMed:21321049, ECO:0000269|PubMed:22229724}.; </t>
  </si>
  <si>
    <t xml:space="preserve">1160.64</t>
  </si>
  <si>
    <t xml:space="preserve">104</t>
  </si>
  <si>
    <t xml:space="preserve">55,49</t>
  </si>
  <si>
    <t xml:space="preserve">0.000473118175100564</t>
  </si>
  <si>
    <t xml:space="preserve">NEDD4 binding protein 2</t>
  </si>
  <si>
    <t xml:space="preserve">FUNCTION: Has 5'-polynucleotide kinase and nicking endonuclease activity. May play a role in DNA repair or recombination. {ECO:0000269|PubMed:12730195}.; </t>
  </si>
  <si>
    <t xml:space="preserve">29,5</t>
  </si>
  <si>
    <t xml:space="preserve">0.984488111789506</t>
  </si>
  <si>
    <t xml:space="preserve">kinase insert domain receptor</t>
  </si>
  <si>
    <t xml:space="preserve">FUNCTION: Tyrosine-protein kinase that acts as a cell-surface receptor for VEGFA, VEGFC and VEGFD. Plays an essential role in the regulation of angiogenesis, vascular development, vascular permeability, and embryonic hematopoiesis. Promotes proliferation, survival, migration and differentiation of endothelial cells. Promotes reorganization of the actin cytoskeleton. Isoforms lacking a transmembrane domain, such as isoform 2 and isoform 3, may function as decoy receptors for VEGFA, VEGFC and/or VEGFD. Isoform 2 plays an important role as negative regulator of VEGFA- and VEGFC-mediated lymphangiogenesis by limiting the amount of free VEGFA and/or VEGFC and preventing their binding to FLT4. Modulates FLT1 and FLT4 signaling by forming heterodimers. Binding of vascular growth factors to isoform 1 leads to the activation of several signaling cascades. Activation of PLCG1 leads to the production of the cellular signaling molecules diacylglycerol and inositol 1,4,5-trisphosphate and the activation of protein kinase C. Mediates activation of MAPK1/ERK2, MAPK3/ERK1 and the MAP kinase signaling pathway, as well as of the AKT1 signaling pathway. Mediates phosphorylation of PIK3R1, the regulatory subunit of phosphatidylinositol 3-kinase, reorganization of the actin cytoskeleton and activation of PTK2/FAK1. Required for VEGFA-mediated induction of NOS2 and NOS3, leading to the production of the signaling molecule nitric oxide (NO) by endothelial cells. Phosphorylates PLCG1. Promotes phosphorylation of FYN, NCK1, NOS3, PIK3R1, PTK2/FAK1 and SRC. {ECO:0000269|PubMed:10102632, ECO:0000269|PubMed:10368301, ECO:0000269|PubMed:10600473, ECO:0000269|PubMed:11387210, ECO:0000269|PubMed:12649282, ECO:0000269|PubMed:1417831, ECO:0000269|PubMed:15026417, ECO:0000269|PubMed:15215251, ECO:0000269|PubMed:15962004, ECO:0000269|PubMed:16966330, ECO:0000269|PubMed:17303569, ECO:0000269|PubMed:18529047, ECO:0000269|PubMed:19668192, ECO:0000269|PubMed:19834490, ECO:0000269|PubMed:20080685, ECO:0000269|PubMed:20224550, ECO:0000269|PubMed:20705758, ECO:0000269|PubMed:21893193, ECO:0000269|PubMed:7929439, ECO:0000269|PubMed:9160888, ECO:0000269|PubMed:9804796, ECO:0000269|PubMed:9837777}.; </t>
  </si>
  <si>
    <t xml:space="preserve">DISEASE: Hemangioma, capillary infantile (HCI) [MIM:602089]: A condition characterized by dull red, firm, dome-shaped hemangiomas, sharply demarcated from surrounding skin, usually presenting at birth or occurring within the first two or three months of life. They result from highly proliferative, localized growth of capillary endothelium and generally undergo regression and involution without scarring. {ECO:0000269|PubMed:11807987, ECO:0000269|PubMed:18931684}. Note=Disease susceptibility is associated with variations affecting the gene represented in this entry.; DISEASE: Note=Plays a major role in tumor angiogenesis. In case of HIV-1 infection, the interaction with extracellular viral Tat protein seems to enhance angiogenesis in Kaposi's sarcoma lesions.; </t>
  </si>
  <si>
    <t xml:space="preserve">1491.64</t>
  </si>
  <si>
    <t xml:space="preserve">50,54</t>
  </si>
  <si>
    <t xml:space="preserve">adhesion G protein-coupled receptor L3</t>
  </si>
  <si>
    <t xml:space="preserve">FUNCTION: Plays a role in cell-cell adhesion and neuron guidance via its interactions with FLRT2 and FLRT3 that are expressed at the surface of adjacent cells (PubMed:26235030). Plays a role in the development of glutamatergic synapses in the cortex. Important in determining the connectivity rates between the principal neurons in the cortex. {ECO:0000250|UniProtKB:Q80TS3, ECO:0000305|PubMed:26235030}.; </t>
  </si>
  <si>
    <t xml:space="preserve">7.34246082496395e-10</t>
  </si>
  <si>
    <t xml:space="preserve">protein phosphatase with EF-hand domain 2</t>
  </si>
  <si>
    <t xml:space="preserve">FUNCTION: May play a role in phototransduction. May dephosphorylate photoactivated rhodopsin. May function as a calcium sensing regulator of ionic currents, energy production or synaptic transmission.; </t>
  </si>
  <si>
    <t xml:space="preserve">1024.64</t>
  </si>
  <si>
    <t xml:space="preserve">28,36</t>
  </si>
  <si>
    <t xml:space="preserve">1.12464982894466e-05</t>
  </si>
  <si>
    <t xml:space="preserve">chromosome 4 open reading frame 22</t>
  </si>
  <si>
    <t xml:space="preserve">419.64</t>
  </si>
  <si>
    <t xml:space="preserve">33</t>
  </si>
  <si>
    <t xml:space="preserve">18,15</t>
  </si>
  <si>
    <t xml:space="preserve">1.84221510783847e-06</t>
  </si>
  <si>
    <t xml:space="preserve">solute carrier family 10 member 6</t>
  </si>
  <si>
    <t xml:space="preserve">FUNCTION: Transports sulfoconjugated steroid hormones, as well as taurolithocholic acid-3-sulfate and sulfoconjugated pyrenes in a sodium-dependent manner. {ECO:0000269|PubMed:17491011}.; </t>
  </si>
  <si>
    <t xml:space="preserve">GTGTGTGT</t>
  </si>
  <si>
    <t xml:space="preserve">1094.02</t>
  </si>
  <si>
    <t xml:space="preserve">1,14,8</t>
  </si>
  <si>
    <t xml:space="preserve">0.000618023464984046</t>
  </si>
  <si>
    <t xml:space="preserve">dentin sialophosphoprotein</t>
  </si>
  <si>
    <t xml:space="preserve">FUNCTION: DSP may be an important factor in dentinogenesis. DPP may bind high amount of calcium and facilitate initial mineralization of dentin matrix collagen as well as regulate the size and shape of the crystals.; </t>
  </si>
  <si>
    <t xml:space="preserve">DISEASE: Deafness, autosomal dominant, 39, with dentinogenesis imperfecta 1 (DFNA39/DGI1) [MIM:605594]: A disorder characterized by the association of progressive sensorineural high-frequency hearing loss with dentinogenesis imperfecta. {ECO:0000269|PubMed:11175790}. Note=The disease is caused by mutations affecting the gene represented in this entry.; DISEASE: Dentinogenesis imperfecta, Shields type 2 (DGI2) [MIM:125490]: A form of dentinogenesis imperfecta, an autosomal dominant dentin disorder characterized by amber-brown, opalescent teeth that fracture and shed their enamel during mastication, thereby exposing the dentin to rapid wear. Radiographically, the crown appears bulbous and pulpal obliteration is common. The pulp chambers are initially larger than normal prior and immediately after tooth eruption, and then progressively close down to become almost obliterated by abnormal dentin formation. Roots are short and thin. Both primary and permanent teeth are affected. DGI2 is not associated with osteogenesis imperfecta. {ECO:0000269|PubMed:11175779, ECO:0000269|PubMed:14758537, ECO:0000269|PubMed:17627120, ECO:0000269|PubMed:21029264}. Note=The disease is caused by mutations affecting the gene represented in this entry. DSPP defects causing dentin abnormalities act in a dominant negative manner and include missense, splice-site, frameshift mutations. 5' frameshift mutations cause dentin dysplasia while frameshift mutations at the 3' end cause the more severe dentinogenesis imperfecta phenotype (PubMed:18521831 and PubMed:22392858).; DISEASE: Dentinogenesis imperfecta, Shields type 3 (DGI3) [MIM:125500]: A form of dentinogenesis imperfecta, an autosomal dominant dentin disorder characterized by amber-brown, opalescent teeth that fracture and shed their enamel during mastication, thereby exposing the dentin to rapid wear. Radiographically, the crown appears bulbous and pulpal obliteration is common. The pulp chambers are initially larger than normal prior and immediately after tooth eruption, and then progressively close down to become almost obliterated by abnormal dentin formation. Roots are short and thin. Both primary and permanent teeth are affected. DGI3 teeth typically manifest multiple periapical radiolucencies. DGI3 is not associated with osteogenesis imperfecta. {ECO:0000269|PubMed:15592686, ECO:0000269|PubMed:18521831, ECO:0000269|PubMed:23509818}. Note=The disease is caused by mutations affecting the gene represented in this entry. DSPP defects causing dentin abnormalities act in a dominant negative manner and include missense, splice-site, frameshift mutations. 5' frameshift mutations cause dentin dysplasia while frameshift mutations at the 3' end cause the more severe dentinogenesis imperfecta phenotype (PubMed:18521831 and PubMed:22392858).; DISEASE: Dentin dysplasia 2 (DTDP2) [MIM:125420]: A dental defect in which the deciduous teeth are opalescent. The permanent teeth are of normal shape, form, and color in most cases. The root length is normal. On radiographs, the pulp chambers of permanent teeth are obliterated, have a thistle-tube deformity and contain pulp stones. {ECO:0000269|PubMed:12354781, ECO:0000269|PubMed:18521831}. Note=The disease is caused by mutations affecting the gene represented in this entry. DSPP defects causing dentin abnormalities act in a dominant negative manner and include missense, splice-site, frameshift mutations. 5' frameshift mutations cause dentin dysplasia while frameshift mutations at the 3' end cause the more severe dentinogenesis imperfecta phenotype (PubMed:18521831, PubMed:22392858). {ECO:0000269|PubMed:18521831, ECO:0000269|PubMed:22392858}.; </t>
  </si>
  <si>
    <t xml:space="preserve">6,2</t>
  </si>
  <si>
    <t xml:space="preserve">0.999998446555818</t>
  </si>
  <si>
    <t xml:space="preserve">glutamate ionotropic receptor delta type subunit 2</t>
  </si>
  <si>
    <t xml:space="preserve">FUNCTION: Receptor for glutamate. L-glutamate acts as an excitatory neurotransmitter at many synapses in the central nervous system. The postsynaptic actions of Glu are mediated by a variety of receptors that are named according to their selective agonists.; </t>
  </si>
  <si>
    <t xml:space="preserve">DISEASE: Spinocerebellar ataxia, autosomal recessive, 18 (SCAR18) [MIM:616204]: Spinocerebellar ataxia defines a clinically and genetically heterogeneous group of cerebellar disorders. Patients show progressive incoordination of gait and often poor coordination of hands, speech and eye movements, due to degeneration of the cerebellum with variable involvement of the brainstem and spinal cord. SCAR18 features include progressive cerebellar atrophy, delayed psychomotor development, severely impaired gait, ocular movement abnormalities, and intellectual disability. {ECO:0000269|PubMed:23611888, ECO:0000269|PubMed:24078737, ECO:0000269|PubMed:25841024}. Note=The disease is caused by mutations affecting the gene represented in this entry.; </t>
  </si>
  <si>
    <t xml:space="preserve">50.59</t>
  </si>
  <si>
    <t xml:space="preserve">17,4</t>
  </si>
  <si>
    <t xml:space="preserve">NM_000253:c.*435_*436insAA;NM_001300785:c.*435_*436insAA;uc003hvc.4:c.*435_*436insAA;uc011cej.2:c.*435_*436insAA</t>
  </si>
  <si>
    <t xml:space="preserve">0.0125833671870721</t>
  </si>
  <si>
    <t xml:space="preserve">microsomal triglyceride transfer protein</t>
  </si>
  <si>
    <t xml:space="preserve">FUNCTION: Catalyzes the transport of triglyceride, cholesteryl ester, and phospholipid between phospholipid surfaces (PubMed:23475612, PubMed:8939939, PubMed:26224785, PubMed:25108285, PubMed:22236406). Required for the secretion of plasma lipoproteins that contain apolipoprotein B (PubMed:23475612, PubMed:8939939, PubMed:26224785). {ECO:0000269|PubMed:22236406, ECO:0000269|PubMed:23475612, ECO:0000269|PubMed:25108285, ECO:0000269|PubMed:26224785, ECO:0000269|PubMed:8939939}.; </t>
  </si>
  <si>
    <t xml:space="preserve">DISEASE: Abetalipoproteinemia (ABL) [MIM:200100]: An autosomal recessive disorder of lipoprotein metabolism. Affected individuals produce virtually no circulating apolipoprotein B-containing lipoproteins (chylomicrons, VLDL, LDL, lipoprotein(A)). Malabsorption of the antioxidant vitamin E occurs, leading to spinocerebellar and retinal degeneration. {ECO:0000269|PubMed:10679949, ECO:0000269|PubMed:10946006, ECO:0000269|PubMed:22236406, ECO:0000269|PubMed:23475612, ECO:0000269|PubMed:25108285, ECO:0000269|PubMed:26224785, ECO:0000269|PubMed:8939939}. Note=The disease is caused by mutations affecting the gene represented in this entry.; </t>
  </si>
  <si>
    <t xml:space="preserve">53.64</t>
  </si>
  <si>
    <t xml:space="preserve">15,4</t>
  </si>
  <si>
    <t xml:space="preserve">24,3</t>
  </si>
  <si>
    <t xml:space="preserve">210.64</t>
  </si>
  <si>
    <t xml:space="preserve">5,7</t>
  </si>
  <si>
    <t xml:space="preserve">7.11571993838381e-08</t>
  </si>
  <si>
    <t xml:space="preserve">collagen type XXV alpha 1</t>
  </si>
  <si>
    <t xml:space="preserve">FUNCTION: Inhibits fibrillization of beta amyloid peptide during the elongation phase. Has also been shown to assemble amyloid fibrils into protease-resistant aggregates. Binds heparin. {ECO:0000269|PubMed:15522881, ECO:0000269|PubMed:15615705, ECO:0000269|PubMed:15853808, ECO:0000269|PubMed:16300410}.; </t>
  </si>
  <si>
    <t xml:space="preserve">DISEASE: Fibrosis of extraocular muscles, congenital, 5 (CFEOM5) [MIM:616219]: An ocular motility disorder characterized by congenital dysinnervation of various cranial nerves to ocular muscles. Clinical features are ophthalmoplegia, anchoring of the eyes in downward gaze, ptosis, and backward tilt of the head. {ECO:0000269|PubMed:25500261}. Note=The disease is caused by mutations affecting the gene represented in this entry.; </t>
  </si>
  <si>
    <t xml:space="preserve">730.64</t>
  </si>
  <si>
    <t xml:space="preserve">15,22</t>
  </si>
  <si>
    <t xml:space="preserve">0.999999999999808</t>
  </si>
  <si>
    <t xml:space="preserve">ankyrin 2, neuronal</t>
  </si>
  <si>
    <t xml:space="preserve">FUNCTION: In skeletal muscle, required for proper localization of DMD and DCTN4 and for the formation and/or stability of a special subset of microtubules associated with costameres and neuromuscular junctions (By similarity). Attaches integral membrane proteins to cytoskeletal elements. Also binds to cytoskeletal proteins. Required for coordinate assembly of Na/Ca exchanger, Na/K ATPase and InsP3 receptor at sarcoplasmic reticulum sites in cardiomyocytes. Required for the coordinated expression of the Na/K ATPase, Na/Ca exchanger and beta-2-spectrin (SPTBN1) in the inner segment of rod photoreceptors. Required for expression and targeting of SPTBN1 in neonatal cardiomyocytes and for the regulation of neonatal cardiomyocyte contraction rate. {ECO:0000250, ECO:0000269|PubMed:12571597}.; </t>
  </si>
  <si>
    <t xml:space="preserve">DISEASE: Long QT syndrome 4 (LQT4) [MIM:600919]: A heart disorder characterized by a prolonged QT interval on the ECG and polymorphic ventricular arrhythmias. They cause syncope and sudden death in response to exercise or emotional stress, and can present with a sentinel event of sudden cardiac death in infancy. Long QT syndrome type 4 shows many atypical features compared to classical long QT syndromes, including pronounced sinus bradycardia, polyphasic T waves and atrial fibrillation. Cardiac repolarization defects may be not as severe as in classical LQT syndromes and prolonged QT interval on EKG is not a consistent feature. {ECO:0000269|PubMed:12571597, ECO:0000269|PubMed:15178757}. Note=The disease is caused by mutations affecting the gene represented in this entry.; </t>
  </si>
  <si>
    <t xml:space="preserve">389.64</t>
  </si>
  <si>
    <t xml:space="preserve">13,12</t>
  </si>
  <si>
    <t xml:space="preserve">0.697040878974778</t>
  </si>
  <si>
    <t xml:space="preserve">signal peptidase complex subunit 3</t>
  </si>
  <si>
    <t xml:space="preserve">FUNCTION: Component of the microsomal signal peptidase complex which removes signal peptides from nascent proteins as they are translocated into the lumen of the endoplasmic reticulum. {ECO:0000250}.; </t>
  </si>
  <si>
    <t xml:space="preserve">7,7</t>
  </si>
  <si>
    <t xml:space="preserve">1.91287337257915e-22</t>
  </si>
  <si>
    <t xml:space="preserve">coagulation factor XI</t>
  </si>
  <si>
    <t xml:space="preserve">FUNCTION: Factor XI triggers the middle phase of the intrinsic pathway of blood coagulation by activating factor IX.; </t>
  </si>
  <si>
    <t xml:space="preserve">DISEASE: Factor XI deficiency (FA11D) [MIM:612416]: A hemorrhagic disease characterized by reduced levels and activity of factor XI resulting in moderate bleeding symptoms, usually occurring after trauma or surgery. Patients usually do not present spontaneous bleeding but women can present with menorrhagia. Hemorrhages are usually moderate. {ECO:0000269|PubMed:10027710, ECO:0000269|PubMed:10606881, ECO:0000269|PubMed:11895778, ECO:0000269|PubMed:15026311, ECO:0000269|PubMed:15180874, ECO:0000269|PubMed:1547342, ECO:0000269|PubMed:15953011, ECO:0000269|PubMed:16607084, ECO:0000269|PubMed:18005151, ECO:0000269|PubMed:21457405, ECO:0000269|PubMed:21668437, ECO:0000269|PubMed:21999818, ECO:0000269|PubMed:22016685, ECO:0000269|PubMed:22159456, ECO:0000269|PubMed:22322133, ECO:0000269|PubMed:2813350, ECO:0000269|PubMed:7669672, ECO:0000269|PubMed:7888672, ECO:0000269|PubMed:9401068, ECO:0000269|PubMed:9787168}. Note=The disease is caused by mutations affecting the gene represented in this entry.; </t>
  </si>
  <si>
    <t xml:space="preserve">509.02</t>
  </si>
  <si>
    <t xml:space="preserve">16,22,15</t>
  </si>
  <si>
    <t xml:space="preserve">5.78867795702671e-37</t>
  </si>
  <si>
    <t xml:space="preserve">dynein axonemal heavy chain 5</t>
  </si>
  <si>
    <t xml:space="preserve">FUNCTION: Force generating protein of respiratory cilia. Produces force towards the minus ends of microtubules. Dynein has ATPase activity; the force-producing power stroke is thought to occur on release of ADP. Required for structural and functional integrity of the cilia of ependymal cells lining the brain ventricles.; </t>
  </si>
  <si>
    <t xml:space="preserve">DISEASE: Ciliary dyskinesia, primary, 3 (CILD3) [MIM:608644]: A disorder characterized by abnormalities of motile cilia. Respiratory infections leading to chronic inflammation and bronchiectasis are recurrent, due to defects in the respiratory cilia; reduced fertility is often observed in male patients due to abnormalities of sperm tails. Half of the patients exhibit randomization of left-right body asymmetry and situs inversus, due to dysfunction of monocilia at the embryonic node. Primary ciliary dyskinesia associated with situs inversus is referred to as Kartagener syndrome. {ECO:0000269|PubMed:11062149, ECO:0000269|PubMed:16627867, ECO:0000269|PubMed:25186273}. Note=The disease is caused by mutations affecting the gene represented in this entry.; DISEASE: Kartagener syndrome (KTGS) [MIM:244400]: An autosomal recessive disorder characterized by the association of primary ciliary dyskinesia with situs inversus. Clinical features include recurrent respiratory infections, bronchiectasis, infertility, and lateral transposition of the viscera of the thorax and abdomen. The situs inversus is most often total, although it can be partial in some cases (isolated dextrocardia or isolated transposition of abdominal viscera). {ECO:0000269|PubMed:11788826}. Note=The disease is caused by mutations affecting the gene represented in this entry.; </t>
  </si>
  <si>
    <t xml:space="preserve">73.64</t>
  </si>
  <si>
    <t xml:space="preserve">0.99639964840206</t>
  </si>
  <si>
    <t xml:space="preserve">drosha ribonuclease III</t>
  </si>
  <si>
    <t xml:space="preserve">FUNCTION: Ribonuclease III double-stranded (ds) RNA-specific endoribonuclease that is involved in the initial step of microRNA (miRNA) biogenesis. Component of the microprocessor complex that is required to process primary miRNA transcripts (pri-miRNAs) to release precursor miRNA (pre-miRNA) in the nucleus. Within the microprocessor complex, DROSHA cleaves the 3' and 5' strands of a stem-loop in pri-miRNAs (processing center 11 bp from the dsRNA- ssRNA junction) to release hairpin-shaped pre-miRNAs that are subsequently cut by the cytoplasmic DICER to generate mature miRNAs. Involved also in pre-rRNA processing. Cleaves double- strand RNA and does not cleave single-strand RNA. Involved in the formation of GW bodies. {ECO:0000269|PubMed:10948199, ECO:0000269|PubMed:14508493, ECO:0000269|PubMed:15531877, ECO:0000269|PubMed:15565168, ECO:0000269|PubMed:15574589, ECO:0000269|PubMed:15589161, ECO:0000269|PubMed:16751099, ECO:0000269|PubMed:16906129, ECO:0000269|PubMed:17159994}.; </t>
  </si>
  <si>
    <t xml:space="preserve">179.64</t>
  </si>
  <si>
    <t xml:space="preserve">8,6</t>
  </si>
  <si>
    <t xml:space="preserve">adhesion G protein-coupled receptor V1</t>
  </si>
  <si>
    <t xml:space="preserve">FUNCTION: Receptor that may have an important role in the development of the central nervous system.; </t>
  </si>
  <si>
    <t xml:space="preserve">DISEASE: Usher syndrome 2C (USH2C) [MIM:605472]: USH is a genetically heterogeneous condition characterized by the association of retinitis pigmentosa with sensorineural deafness. Age at onset and differences in auditory and vestibular function distinguish Usher syndrome type 1 (USH1), Usher syndrome type 2 (USH2) and Usher syndrome type 3 (USH3). USH2 is characterized by congenital mild hearing impairment with normal vestibular responses. {ECO:0000269|PubMed:14740321, ECO:0000269|PubMed:22147658}. Note=The disease is caused by mutations affecting the gene represented in this entry.; DISEASE: Febrile seizures, familial, 4 (FEB4) [MIM:604352]: Seizures associated with febrile episodes in childhood without any evidence of intracranial infection or defined pathologic or traumatic cause. It is a common condition, affecting 2-5% of children aged 3 months to 5 years. The majority are simple febrile seizures (generally defined as generalized onset, single seizures with a duration of less than 30 minutes). Complex febrile seizures are characterized by focal onset, duration greater than 30 minutes, and/or more than one seizure in a 24 hour period. The likelihood of developing epilepsy following simple febrile seizures is low. Complex febrile seizures are associated with a moderately increased incidence of epilepsy. Note=The disease may be caused by mutations affecting the gene represented in this entry.; </t>
  </si>
  <si>
    <t xml:space="preserve">572.02</t>
  </si>
  <si>
    <t xml:space="preserve">9,20,17</t>
  </si>
  <si>
    <t xml:space="preserve">0.0896398214145992</t>
  </si>
  <si>
    <t xml:space="preserve">proprotein convertase subtilisin/kexin type 1</t>
  </si>
  <si>
    <t xml:space="preserve">FUNCTION: Involved in the processing of hormone and other protein precursors at sites comprised of pairs of basic amino acid residues. Substrates include POMC, renin, enkephalin, dynorphin, somatostatin, insulin and AGRP. {ECO:0000250|UniProtKB:P63239}.; </t>
  </si>
  <si>
    <t xml:space="preserve">DISEASE: Proprotein convertase 1 deficiency (PC1 deficiency) [MIM:600955]: Characterized by obesity, hypogonadism, hypoadrenalism, reactive hypoglycemia as well as marked small- intestinal absorptive dysfunction It is due to impaired processing of prohormones. {ECO:0000269|PubMed:14617756, ECO:0000269|PubMed:17595246, ECO:0000269|PubMed:9207799}. Note=The disease is caused by mutations affecting the gene represented in this entry.; </t>
  </si>
  <si>
    <t xml:space="preserve">36,39</t>
  </si>
  <si>
    <t xml:space="preserve">0.0234724316059047</t>
  </si>
  <si>
    <t xml:space="preserve">solute carrier family 36 member 1</t>
  </si>
  <si>
    <t xml:space="preserve">FUNCTION: Neutral amino acid/proton symporter. Has a pH-dependent electrogenic transport activity for small amino acids such as glycine, alanine and proline. Besides small apolar L-amino acids, it also recognize their D-enantiomers and selected amino acid derivatives such as gamma-aminobutyric acid (By similarity). {ECO:0000250, ECO:0000269|PubMed:12809675}.; </t>
  </si>
  <si>
    <t xml:space="preserve">454.64</t>
  </si>
  <si>
    <t xml:space="preserve">15,14</t>
  </si>
  <si>
    <t xml:space="preserve">1.3436999038052e-23</t>
  </si>
  <si>
    <t xml:space="preserve">ATPase phospholipid transporting 10B (putative)</t>
  </si>
  <si>
    <t xml:space="preserve">FUNCTION: Catalytic component of a P4-ATPase flippase complex which catalyzes the hydrolysis of ATP coupled to the transport of aminophospholipids from the outer to the inner leaflet of various membranes and ensures the maintenance of asymmetric distribution of phospholipids. Phospholipid translocation seems also to be implicated in vesicle formation and in uptake of lipid signaling molecules (Probable). {ECO:0000305}.; </t>
  </si>
  <si>
    <t xml:space="preserve">637.64</t>
  </si>
  <si>
    <t xml:space="preserve">21,23</t>
  </si>
  <si>
    <t xml:space="preserve">0.987223276135779</t>
  </si>
  <si>
    <t xml:space="preserve">transcription factor AP-2 alpha (activating enhancer binding protein 2 alpha)</t>
  </si>
  <si>
    <t xml:space="preserve">FUNCTION: Sequence-specific DNA-binding protein that interacts with inducible viral and cellular enhancer elements to regulate transcription of selected genes. AP-2 factors bind to the consensus sequence 5'-GCCNNNGGC-3' and activate genes involved in a large spectrum of important biological functions including proper eye, face, body wall, limb and neural tube development. They also suppress a number of genes including MCAM/MUC18, C/EBP alpha and MYC. AP-2-alpha is the only AP-2 protein required for early morphogenesis of the lens vesicle. Together with the CITED2 coactivator, stimulates the PITX2 P1 promoter transcription activation. Associates with chromatin to the PITX2 P1 promoter region. {ECO:0000269|PubMed:11694877, ECO:0000269|PubMed:12586840}.; </t>
  </si>
  <si>
    <t xml:space="preserve">DISEASE: Branchiooculofacial syndrome (BOFS) [MIM:113620]: A syndrome characterized by growth retardation, bilateral branchial sinus defects with hemangiomatous, scarred skin, cleft lip with or without cleft palate, pseudocleft of the upper lip, nasolacrimal duct obstruction, low set ears with posterior rotation, a malformed, asymmetrical nose with a broad bridge and flattened tip, conductive or sensorineural deafness, ocular and renal anomalies. {ECO:0000269|PubMed:18423521}. Note=The disease is caused by mutations affecting the gene represented in this entry.; </t>
  </si>
  <si>
    <t xml:space="preserve">778.60</t>
  </si>
  <si>
    <t xml:space="preserve">60,41</t>
  </si>
  <si>
    <t xml:space="preserve">NM_001278209:exon18:c.2558-2-&gt;TTT;NM_001278210:exon16:c.2339-2-&gt;TTT;NM_005124:exon17:c.2465-2-&gt;TTT;uc011dje.2:exon18:c.2558-2-&gt;TTT;uc003ncd.2:exon17:c.2465-2-&gt;TTT;uc010jpl.2:exon16:c.2339-2-&gt;TTT;ENST00000262077:exon17:c.2465-2-&gt;TTT;ENST00000537253:exon18:c.2558-2-&gt;TTT</t>
  </si>
  <si>
    <t xml:space="preserve">0.999994457328352</t>
  </si>
  <si>
    <t xml:space="preserve">nucleoporin 153kDa</t>
  </si>
  <si>
    <t xml:space="preserve">FUNCTION: Component of the nuclear pore complex (NPC), a complex required for the trafficking across the nuclear envelope. Functions as a scaffolding element in the nuclear phase of the NPC essential for normal nucleocytoplasmic transport of proteins and mRNAs. Involved in the quality control and retention of unspliced mRNAs in the nucleus; in association with TPR, regulates the nuclear export of unspliced mRNA species bearing constitutive transport element (CTE) in a NXF1- and KHDRBS1-independent manner. Mediates TPR anchoring to the nuclear membrane at NPC. The repeat- containing domain may be involved in anchoring other components of the NPC to the pore membrane. Possible DNA-binding subunit of the nuclear pore complex (NPC). {ECO:0000269|PubMed:12802065, ECO:0000269|PubMed:15229283, ECO:0000269|PubMed:22253824}.; </t>
  </si>
  <si>
    <t xml:space="preserve">CAGT</t>
  </si>
  <si>
    <t xml:space="preserve">298.60</t>
  </si>
  <si>
    <t xml:space="preserve">22,9</t>
  </si>
  <si>
    <t xml:space="preserve">0.971310088681335</t>
  </si>
  <si>
    <t xml:space="preserve">family with sequence similarity 65 member B</t>
  </si>
  <si>
    <t xml:space="preserve">FUNCTION: Required for hearing (PubMed:24958875). Involved in skeletal muscle development (PubMed:24687993). {ECO:0000269|PubMed:24687993, ECO:0000269|PubMed:24958875}.; </t>
  </si>
  <si>
    <t xml:space="preserve">DISEASE: Note=FAM65B mutations may be a cause of non-syndromic deafness. A splice site mutation causing in-frame skipping of exon 3 has been found in a large consanguineous kindred with recessive non-syndromic, prelingual, profound hearing loss. The mutation perfectly cosegregates with the phenotype in the family. {ECO:0000269|PubMed:24958875}.; </t>
  </si>
  <si>
    <t xml:space="preserve">AGA</t>
  </si>
  <si>
    <t xml:space="preserve">251.60</t>
  </si>
  <si>
    <t xml:space="preserve">23,8</t>
  </si>
  <si>
    <t xml:space="preserve">833.64</t>
  </si>
  <si>
    <t xml:space="preserve">0.0359460022848758</t>
  </si>
  <si>
    <t xml:space="preserve">secretagogin, EF-hand calcium binding protein</t>
  </si>
  <si>
    <t xml:space="preserve">2098.64</t>
  </si>
  <si>
    <t xml:space="preserve">77,80</t>
  </si>
  <si>
    <t xml:space="preserve">0.0163881344679348</t>
  </si>
  <si>
    <t xml:space="preserve">TRIM31 antisense RNA 1;tripartite motif containing 31</t>
  </si>
  <si>
    <t xml:space="preserve">FUNCTION: Regulator of Src-induced anchorage independent cell growth (By similarity). May have E3 ubiquitin-protein ligase activity. {ECO:0000250, ECO:0000269|PubMed:18773414}.; </t>
  </si>
  <si>
    <t xml:space="preserve">MHC</t>
  </si>
  <si>
    <t xml:space="preserve">3174.97</t>
  </si>
  <si>
    <t xml:space="preserve">0,65,82</t>
  </si>
  <si>
    <t xml:space="preserve">NM_000247:exon6:c.949-1G&gt;0</t>
  </si>
  <si>
    <t xml:space="preserve">0.000378019716342188</t>
  </si>
  <si>
    <t xml:space="preserve">MHC class I polypeptide-related sequence A</t>
  </si>
  <si>
    <t xml:space="preserve">FUNCTION: Seems to have no role in antigen presentation. Acts as a stress-induced self-antigen that is recognized by gamma delta T- cells. Ligand for the KLRK1/NKG2D receptor. Binding to KLRK1 leads to cell lysis. {ECO:0000269|PubMed:10426993, ECO:0000269|PubMed:11224526, ECO:0000269|PubMed:11491531, ECO:0000269|PubMed:11777960, ECO:0000269|PubMed:9497295}.; </t>
  </si>
  <si>
    <t xml:space="preserve">DISEASE: Note=Anti-MICA antibodies and ligand shedding are involved in the progression of monoclonal gammopathy of undetermined significance (MGUS)to multiple myeloma.; DISEASE: Psoriasis 1 (PSORS1) [MIM:177900]: A common, chronic inflammatory disease of the skin with multifactorial etiology. It is characterized by red, scaly plaques usually found on the scalp, elbows and knees. These lesions are caused by abnormal keratinocyte proliferation and infiltration of inflammatory cells into the dermis and epidermis. Note=Disease susceptibility is associated with variations affecting the gene represented in this entry.; DISEASE: Psoriatic arthritis (PSORAS) [MIM:607507]: An inflammatory, seronegative arthritis associated with psoriasis. It is a heterogeneous disorder ranging from a mild, non-destructive disease to a severe, progressive, erosive arthropathy. Five types of psoriatic arthritis have been defined: asymmetrical oligoarthritis characterized by primary involvement of the small joints of the fingers or toes; asymmetrical arthritis which involves the joints of the extremities; symmetrical polyarthritis characterized by a rheumatoid like pattern that can involve hands, wrists, ankles, and feet; arthritis mutilans, which is a rare but deforming and destructive condition; arthritis of the sacroiliac joints and spine (psoriatic spondylitis). {ECO:0000269|PubMed:10323458}. Note=Disease susceptibility is associated with variations affecting the gene represented in this entry.; </t>
  </si>
  <si>
    <t xml:space="preserve">13,15</t>
  </si>
  <si>
    <t xml:space="preserve">4.28880941939168e-07</t>
  </si>
  <si>
    <t xml:space="preserve">von Willebrand factor A domain containing 7</t>
  </si>
  <si>
    <t xml:space="preserve">5580.04</t>
  </si>
  <si>
    <t xml:space="preserve">165</t>
  </si>
  <si>
    <t xml:space="preserve">0,141,24</t>
  </si>
  <si>
    <t xml:space="preserve">NM_001243965:exon2:c.101-1G&gt;0</t>
  </si>
  <si>
    <t xml:space="preserve">5.62352879494898e-05</t>
  </si>
  <si>
    <t xml:space="preserve">major histocompatibility complex, class II, DR beta 1</t>
  </si>
  <si>
    <t xml:space="preserve">FUNCTION: Binds peptides derived from antigens that access the endocytic route of antigen presenting cells (APC) and presents them on the cell surface for recognition by the CD4 T-cells. The peptide binding cleft accommodates peptides of 10-30 residues. The peptides presented by MHC class II molecules are generated mostly by degradation of proteins that access the endocytic route, where they are processed by lysosomal proteases and other hydrolases. Exogenous antigens that have been endocytosed by the APC are thus readily available for presentation via MHC II molecules, and for this reason this antigen presentation pathway is usually referred to as exogenous. As membrane proteins on their way to degradation in lysosomes as part of their normal turn-over are also contained in the endosomal/lysosomal compartments, exogenous antigens must compete with those derived from endogenous components. Autophagy is also a source of endogenous peptides, autophagosomes constitutively fuse with MHC class II loading compartments. In addition to APCs, other cells of the gastrointestinal tract, such as epithelial cells, express MHC class II molecules and CD74 and act as APCs, which is an unusual trait of the GI tract. To produce a MHC class II molecule that presents an antigen, three MHC class II molecules (heterodimers of an alpha and a beta chain) associate with a CD74 trimer in the ER to form a heterononamer. Soon after the entry of this complex into the endosomal/lysosomal system where antigen processing occurs, CD74 undergoes a sequential degradation by various proteases, including CTSS and CTSL, leaving a small fragment termed CLIP (class-II-associated invariant chain peptide). The removal of CLIP is facilitated by HLA-DM via direct binding to the alpha-beta-CLIP complex so that CLIP is released. HLA-DM stabilizes MHC class II molecules until primary high affinity antigenic peptides are bound. The MHC II molecule bound to a peptide is then transported to the cell membrane surface. In B-cells, the interaction between HLA-DM and MHC class II molecules is regulated by HLA-DO. Primary dendritic cells (DCs) also to express HLA-DO. Lysosomal microenvironment has been implicated in the regulation of antigen loading into MHC II molecules, increased acidification produces increased proteolysis and efficient peptide loading.; </t>
  </si>
  <si>
    <t xml:space="preserve">5244.04</t>
  </si>
  <si>
    <t xml:space="preserve">153</t>
  </si>
  <si>
    <t xml:space="preserve">3,136,14</t>
  </si>
  <si>
    <t xml:space="preserve">NM_001243965:exon2:c.101-2G&gt;0</t>
  </si>
  <si>
    <t xml:space="preserve">141.64</t>
  </si>
  <si>
    <t xml:space="preserve">0.853295086026932</t>
  </si>
  <si>
    <t xml:space="preserve">serine/threonine kinase 38</t>
  </si>
  <si>
    <t xml:space="preserve">FUNCTION: Negative regulator of MAP3K1/2 signaling. Converts MAP3K2 from its phosphorylated form to its non-phosphorylated form and inhibits autophosphorylation of MAP3K2. {ECO:0000269|PubMed:12493777, ECO:0000269|PubMed:15197186, ECO:0000269|PubMed:17906693, ECO:0000269|PubMed:7761441}.; </t>
  </si>
  <si>
    <t xml:space="preserve">1034.64</t>
  </si>
  <si>
    <t xml:space="preserve">51,50</t>
  </si>
  <si>
    <t xml:space="preserve">centrosomal protein 162kDa</t>
  </si>
  <si>
    <t xml:space="preserve">FUNCTION: Required to promote assembly of the transition zone in primary cilia. Acts by specifically recognizing and binding the axonemal microtubule. Localizes to the distal ends of centrioles before ciliogenesis and directly binds to axonemal microtubule, thereby promoting and restricting transition zone formation specifically at the cilia base. Required to mediate CEP290 association with microtubules. {ECO:0000269|PubMed:23644468}.; </t>
  </si>
  <si>
    <t xml:space="preserve">767.02</t>
  </si>
  <si>
    <t xml:space="preserve">30</t>
  </si>
  <si>
    <t xml:space="preserve">1,23,6</t>
  </si>
  <si>
    <t xml:space="preserve">7.10960921485341e-05</t>
  </si>
  <si>
    <t xml:space="preserve">TRAF3 interacting protein 2;TRAF3IP2 antisense RNA 1</t>
  </si>
  <si>
    <t xml:space="preserve">FUNCTION: Could be involved in the activation of both NF-kappa-B via a NF-kappa-B inhibitor kinase (IKK)-dependent mechanism and stress-activated protein kinase (SAPK)/JNK.; </t>
  </si>
  <si>
    <t xml:space="preserve">DISEASE: Candidiasis, familial, 8 (CANDF8) [MIM:615527]: A primary immunodeficiency disorder with altered immune responses and impaired clearance of fungal infections, selective against Candida. It is characterized by persistent and/or recurrent infections of the skin, nails and mucous membranes caused by organisms of the genus Candida, mainly Candida albicans. {ECO:0000269|PubMed:24120361}. Note=The disease is caused by mutations affecting the gene represented in this entry.; </t>
  </si>
  <si>
    <t xml:space="preserve">259.64</t>
  </si>
  <si>
    <t xml:space="preserve">9,8</t>
  </si>
  <si>
    <t xml:space="preserve">1.66696194609875e-13</t>
  </si>
  <si>
    <t xml:space="preserve">sphingomyelin phosphodiesterase acid like 3A</t>
  </si>
  <si>
    <t xml:space="preserve">490.64</t>
  </si>
  <si>
    <t xml:space="preserve">20,21</t>
  </si>
  <si>
    <t xml:space="preserve">2.30987361236777e-05</t>
  </si>
  <si>
    <t xml:space="preserve">ectonucleotide pyrophosphatase/phosphodiesterase 1</t>
  </si>
  <si>
    <t xml:space="preserve">FUNCTION: By generating PPi, plays a role in regulating pyrophosphate levels, and functions in bone mineralization and soft tissue calcification. PPi inhibits mineralization by binding to nascent hydroxyapatite (HA) crystals, thereby preventing further growth of these crystals. Preferentially hydrolyzes ATP, but can also hydrolyze other nucleoside 5' triphosphates such as GTP, CTP, TTP and UTP to their corresponding monophosphates with release of pyrophosphate and diadenosine polyphosphates, and also 3',5'-cAMP to AMP. May also be involved in the regulation of the availability of nucleotide sugars in the endoplasmic reticulum and Golgi, and the regulation of purinergic signaling. Appears to modulate insulin sensitivity and function. {ECO:0000269|PubMed:10615944, ECO:0000269|PubMed:8001561}.; </t>
  </si>
  <si>
    <t xml:space="preserve">DISEASE: Ossification of the posterior longitudinal ligament of the spine (OPLL) [MIM:602475]: A calcification of the posterior longitudinal ligament of the spinal column, usually at the level of the cervical spine. Patients with OPLL frequently present with a severe myelopathy that can lead to tetraparesis. {ECO:0000269|PubMed:10453738}. Note=The disease is caused by mutations affecting the gene represented in this entry.; DISEASE: Arterial calcification of infancy, generalized, 1 (GACI1) [MIM:208000]: A severe autosomal recessive disorder characterized by calcification of the internal elastic lamina of muscular arteries and stenosis due to myointimal proliferation. The disorder is often fatal within the first 6 months of life because of myocardial ischemia resulting in refractory heart failure. {ECO:0000269|PubMed:12881724, ECO:0000269|PubMed:15605415, ECO:0000269|PubMed:15940697, ECO:0000269|PubMed:22209248}. Note=The disease is caused by mutations affecting the gene represented in this entry.; DISEASE: Diabetes mellitus, non-insulin-dependent (NIDDM) [MIM:125853]: A multifactorial disorder of glucose homeostasis caused by a lack of sensitivity to the body's own insulin. Affected individuals usually have an obese body habitus and manifestations of a metabolic syndrome characterized by diabetes, insulin resistance, hypertension and hypertriglyceridemia. The disease results in long-term complications that affect the eyes, kidneys, nerves, and blood vessels. {ECO:0000269|PubMed:16186408}. Note=Disease susceptibility is associated with variations affecting the gene represented in this entry.; DISEASE: Hypophosphatemic rickets, autosomal recessive, 2 (ARHR2) [MIM:613312]: A hereditary form of hypophosphatemic rickets, a disorder of proximal renal tubule function that causes phosphate loss, hypophosphatemia and skeletal deformities, including rickets and osteomalacia unresponsive to vitamin D. Symptoms are bone pain, fractures and growth abnormalities. {ECO:0000269|PubMed:20137772, ECO:0000269|PubMed:20137773}. Note=The disease is caused by mutations affecting the gene represented in this entry.; DISEASE: Cole disease (COLED) [MIM:615522]: A rare autosomal dominant genodermatosis characterized by punctate keratoderma associated with irregularly shaped hypopigmented macules, which are typically found over the arms and legs but not the trunk or acral regions. Skin biopsies of palmoplantar lesions show hyperorthokeratosis, hypergranulosis, and acanthosis. Hypopigmented areas of skin, however, reveal a reduction in melanin content in keratinocytes but not in melanocytes, as well as hyperkeratosis and a normal number of melanocytes. Ultrastructurally, melanocytes show a disproportionately large number of melanosomes in the cytoplasm and dendrites, whereas keratinocytes show a paucity of these organelles, suggestive of impaired melanosome transfer. Some patients also exhibit calcinosis cutis or calcific tendinopathy. {ECO:0000269|PubMed:24075184}. Note=The disease is caused by mutations affecting the gene represented in this entry.; </t>
  </si>
  <si>
    <t xml:space="preserve">428.64</t>
  </si>
  <si>
    <t xml:space="preserve">144</t>
  </si>
  <si>
    <t xml:space="preserve">114,30</t>
  </si>
  <si>
    <t xml:space="preserve">NM_001077441:exon5:c.1163+1G&gt;A;NM_001363659:exon5:c.1682+1G&gt;A;NM_014739:exon5:c.1682+1G&gt;A;NM_001301038:exon5:c.1676+1G&gt;A;NM_001077440:exon5:c.1676+1G&gt;A;uc003qgw.1:exon5:c.1163+1G&gt;A;uc003qgx.1:exon5:c.1682+1G&gt;A;uc003qgy.1:exon5:c.1676+1G&gt;A;uc011ede.1:exon5:c.1676+1G&gt;A;ENST00000353331:exon5:c.1676+1G&gt;A;ENST00000531224:exon5:c.1682+1G&gt;A;ENST00000527536:exon5:c.1682+1G&gt;A;ENST00000527613:exon5:c.1682+1G&gt;A;ENST00000530767:exon5:c.1163+1G&gt;A;ENST00000527759:exon5:c.1676+1G&gt;A;ENST00000534269:exon5:c.1157+1G&gt;A;ENST00000532384:exon5:c.1682+1G&gt;A;ENST00000530429:exon5:c.1676+1G&gt;A;ENST00000392348:exon3:c.1676+1G&gt;A;ENST00000529826:exon5:c.1682+1G&gt;A;ENST00000533621:exon3:c.427+1G&gt;A;ENST00000533621:exon3:UTR3</t>
  </si>
  <si>
    <t xml:space="preserve">BCL2 associated transcription factor 1</t>
  </si>
  <si>
    <t xml:space="preserve">FUNCTION: Death-promoting transcriptional repressor. May be involved in cyclin-D1/CCND1 mRNA stability through the SNARP complex which associates with both the 3'end of the CCND1 gene and its mRNA. {ECO:0000269|PubMed:18794151}.; </t>
  </si>
  <si>
    <t xml:space="preserve">788.64</t>
  </si>
  <si>
    <t xml:space="preserve">31,32</t>
  </si>
  <si>
    <t xml:space="preserve">0.999973965663352</t>
  </si>
  <si>
    <t xml:space="preserve">trinucleotide repeat containing 18</t>
  </si>
  <si>
    <t xml:space="preserve">847.02</t>
  </si>
  <si>
    <t xml:space="preserve">1,18,12</t>
  </si>
  <si>
    <t xml:space="preserve">stoploss</t>
  </si>
  <si>
    <t xml:space="preserve">TNRC18:uc003sok.1:exon3:c.389delT:p.*131delinsETGSHYVAQAGVQWCDHRSLQPQTPK*;ENSG00000182095:ENST00000399434:exon3:c.389delT:p.*131delinsETGSHYVAQAGVQWCDHRSLQPQTPK*</t>
  </si>
  <si>
    <t xml:space="preserve">156.64</t>
  </si>
  <si>
    <t xml:space="preserve">2,5</t>
  </si>
  <si>
    <t xml:space="preserve">1496.64</t>
  </si>
  <si>
    <t xml:space="preserve">73,64</t>
  </si>
  <si>
    <t xml:space="preserve">0.803307844592117</t>
  </si>
  <si>
    <t xml:space="preserve">family with sequence similarity 126 member A</t>
  </si>
  <si>
    <t xml:space="preserve">FUNCTION: Component of a complex required to localize phosphatidylinositol 4-kinase (PI4K) to the plasma membrane (PubMed:26571211). The complex acts as a regulator of phosphatidylinositol 4-phosphate (PtdIns(4)P) synthesis (PubMed:26571211). FAM126A plays a key role in oligodendrocytes formation, a cell type with expanded plasma membrane that requires generation of PtdIns(4)P (PubMed:26571211). Its role in oligodendrocytes formation probably explains its importance in myelination of the central and peripheral nervous system (PubMed:26571211, PubMed:16951682). May also have a role in the beta-catenin/Lef signaling pathway (Probable). {ECO:0000269|PubMed:16951682, ECO:0000269|PubMed:26571211, ECO:0000305|PubMed:10910037}.; </t>
  </si>
  <si>
    <t xml:space="preserve">DISEASE: Leukodystrophy, hypomyelinating, 5 (HLD5) [MIM:610532]: A hypomyelinating leukodystrophy associated with congenital cataract. It is clinically characterized by congenital cataract, progressive neurologic impairment, and diffuse myelin deficiency. Affected individuals experience progressive pyramidal and cerebellar dysfunction, muscle weakness and wasting prevailingly in the lower limbs. Mental deficiency ranges from mild to moderate. HLD5 shows clinical variability, but features of hypomyelination combined with increased periventricular white matter water content are consistently observed. {ECO:0000269|PubMed:16951682, ECO:0000269|PubMed:21911699, ECO:0000269|PubMed:23998934}. Note=The disease is caused by mutations affecting the gene represented in this entry.; </t>
  </si>
  <si>
    <t xml:space="preserve">22,5</t>
  </si>
  <si>
    <t xml:space="preserve">NPSR1 antisense RNA 1</t>
  </si>
  <si>
    <t xml:space="preserve">49.64</t>
  </si>
  <si>
    <t xml:space="preserve">intergenic;ncRNA_exonic;splicing</t>
  </si>
  <si>
    <t xml:space="preserve">dist=56369;dist=65495;dist=31163;dist=65495;ENST00000442436:exon2:c.30-2A&gt;C</t>
  </si>
  <si>
    <t xml:space="preserve">543.64</t>
  </si>
  <si>
    <t xml:space="preserve">0.989869332436591</t>
  </si>
  <si>
    <t xml:space="preserve">EPH receptor B4</t>
  </si>
  <si>
    <t xml:space="preserve">FUNCTION: Receptor tyrosine kinase which binds promiscuously transmembrane ephrin-B family ligands residing on adjacent cells, leading to contact-dependent bidirectional signaling into neighboring cells. The signaling pathway downstream of the receptor is referred to as forward signaling while the signaling pathway downstream of the ephrin ligand is referred to as reverse signaling. Together with its cognate ligand/functional ligand EFNB2 plays a central role in heart morphogenesis and angiogenesis through regulation of cell adhesion and cell migration. EPHB4- mediated forward signaling controls cellular repulsion and segregation form EFNB2-expressing cells. Plays also a role in postnatal blood vessel remodeling, morphogenesis and permeability and is thus important in the context of tumor angiogenesis. {ECO:0000269|PubMed:12734395, ECO:0000269|PubMed:16424904}.; </t>
  </si>
  <si>
    <t xml:space="preserve">192.64</t>
  </si>
  <si>
    <t xml:space="preserve">11,11</t>
  </si>
  <si>
    <t xml:space="preserve">0.889708635311524</t>
  </si>
  <si>
    <t xml:space="preserve">claudin 15</t>
  </si>
  <si>
    <t xml:space="preserve">FUNCTION: Claudins function as major constituents of the tight junction complexes that regulate the permeability of epithelia. While some claudin family members function as impermeable barriers, others mediate the permeability to ions and small molecules. Often, several claudin family members are coexpressed and interact with each other, and this determines the overall permeability. CLDN15 forms tight junctions that mediate the paracellular transport of small monovalent cations along a concentration gradient, due to selective permeability for Na(+), Li(+) and K(+) ions, but selects against Cl(-) ions. Plays an important role in paracellular Na(+) transport in the intestine and in Na(+) homeostasis. Required for normal Na(+)-dependent intestinal nutrient uptake. {ECO:0000269|PubMed:12055082, ECO:0000269|PubMed:13129853}.; </t>
  </si>
  <si>
    <t xml:space="preserve">167.72</t>
  </si>
  <si>
    <t xml:space="preserve">5</t>
  </si>
  <si>
    <t xml:space="preserve">1,4</t>
  </si>
  <si>
    <t xml:space="preserve">0.999999999999998</t>
  </si>
  <si>
    <t xml:space="preserve">reelin</t>
  </si>
  <si>
    <t xml:space="preserve">FUNCTION: Extracellular matrix serine protease that plays a role in layering of neurons in the cerebral cortex and cerebellum. Regulates microtubule function in neurons and neuronal migration. Affects migration of sympathetic preganglionic neurons in the spinal cord, where it seems to act as a barrier to neuronal migration. Enzymatic activity is important for the modulation of cell adhesion. Binding to the extracellular domains of lipoprotein receptors VLDLR and LRP8/APOER2 induces tyrosine phosphorylation of DAB1 and modulation of TAU phosphorylation (By similarity). {ECO:0000250}.; </t>
  </si>
  <si>
    <t xml:space="preserve">DISEASE: Lissencephaly 2 (LIS2) [MIM:257320]: A classic type lissencephaly associated with ataxia, mental retardation, seizures and abnormalities of the cerebellum, hippocampus and brainstem. {ECO:0000269|PubMed:10973257}. Note=The disease is caused by mutations affecting the gene represented in this entry.; DISEASE: Epilepsy, familial temporal lobe, 7 (ETL7) [MIM:616436]: A focal form of epilepsy characterized by recurrent seizures that arise from foci within the temporal lobe. Seizures are usually accompanied by sensory symptoms, most often auditory in nature. {ECO:0000269|PubMed:26046367}. Note=The disease is caused by mutations affecting the gene represented in this entry.; </t>
  </si>
  <si>
    <t xml:space="preserve">94.04</t>
  </si>
  <si>
    <t xml:space="preserve">10,11</t>
  </si>
  <si>
    <t xml:space="preserve">144.64</t>
  </si>
  <si>
    <t xml:space="preserve">75,9</t>
  </si>
  <si>
    <t xml:space="preserve">3.21022487204354e-30</t>
  </si>
  <si>
    <t xml:space="preserve">laminin subunit beta 4</t>
  </si>
  <si>
    <t xml:space="preserve">268.64</t>
  </si>
  <si>
    <t xml:space="preserve">0.949258836025037</t>
  </si>
  <si>
    <t xml:space="preserve">adenosylhomocysteinase like 2</t>
  </si>
  <si>
    <t xml:space="preserve">FUNCTION: May regulate the electrogenic sodium/bicarbonate cotransporter SLC4A4 activity and Mg(2+)-sensitivity. On the contrary of its homolog AHCYL1, does not regulate ITPR1 sensitivity to inositol 1,4,5-trisphosphate (PubMed:19220705). {ECO:0000250|UniProtKB:A6QLP2, ECO:0000269|PubMed:19220705}.; </t>
  </si>
  <si>
    <t xml:space="preserve">744.64</t>
  </si>
  <si>
    <t xml:space="preserve">73</t>
  </si>
  <si>
    <t xml:space="preserve">45,28</t>
  </si>
  <si>
    <t xml:space="preserve">1.5473423744435e-23</t>
  </si>
  <si>
    <t xml:space="preserve">maltase-glucoamylase</t>
  </si>
  <si>
    <t xml:space="preserve">FUNCTION: May serve as an alternate pathway for starch digestion when luminal alpha-amylase activity is reduced because of immaturity or malnutrition. May play a unique role in the digestion of malted dietary oligosaccharides used in food manufacturing.; </t>
  </si>
  <si>
    <t xml:space="preserve">425.64</t>
  </si>
  <si>
    <t xml:space="preserve">197</t>
  </si>
  <si>
    <t xml:space="preserve">174,23</t>
  </si>
  <si>
    <t xml:space="preserve">dist=56538;dist=128736;ENSG00000211706:ENST00000390353:exon2:c.G340T:p.E114X</t>
  </si>
  <si>
    <t xml:space="preserve">84.64</t>
  </si>
  <si>
    <t xml:space="preserve">116,13</t>
  </si>
  <si>
    <t xml:space="preserve">12;13</t>
  </si>
  <si>
    <t xml:space="preserve">0.00122029540045484</t>
  </si>
  <si>
    <t xml:space="preserve">protease, serine 1</t>
  </si>
  <si>
    <t xml:space="preserve">FUNCTION: Has activity against the synthetic substrates Boc-Phe- Ser-Arg-Mec, Boc-Leu-Thr-Arg-Mec, Boc-Gln-Ala-Arg-Mec and Boc-Val- Pro-Arg-Mec. The single-chain form is more active than the two- chain form against all of these substrates. {ECO:0000269|PubMed:7945238}.; </t>
  </si>
  <si>
    <t xml:space="preserve">DISEASE: Pancreatitis, hereditary (PCTT) [MIM:167800]: A disease characterized by pancreas inflammation, permanent destruction of the pancreatic parenchyma, maldigestion, and severe abdominal pain attacks. {ECO:0000269|PubMed:10204851, ECO:0000269|PubMed:10381903, ECO:0000269|PubMed:10930381, ECO:0000269|PubMed:11073545, ECO:0000269|PubMed:11788572, ECO:0000269|PubMed:11866271, ECO:0000269|PubMed:14695529, ECO:0000269|PubMed:15776435, ECO:0000269|PubMed:8841182, ECO:0000269|PubMed:9322498, ECO:0000269|PubMed:9633818}. Note=Disease susceptibility is associated with variations affecting the gene represented in this entry.; </t>
  </si>
  <si>
    <t xml:space="preserve">45.64</t>
  </si>
  <si>
    <t xml:space="preserve">141,11</t>
  </si>
  <si>
    <t xml:space="preserve">133,14</t>
  </si>
  <si>
    <t xml:space="preserve">198.64</t>
  </si>
  <si>
    <t xml:space="preserve">146</t>
  </si>
  <si>
    <t xml:space="preserve">132,14</t>
  </si>
  <si>
    <t xml:space="preserve">276.64</t>
  </si>
  <si>
    <t xml:space="preserve">134</t>
  </si>
  <si>
    <t xml:space="preserve">119,15</t>
  </si>
  <si>
    <t xml:space="preserve">285.64</t>
  </si>
  <si>
    <t xml:space="preserve">131</t>
  </si>
  <si>
    <t xml:space="preserve">116,15</t>
  </si>
  <si>
    <t xml:space="preserve">626.64</t>
  </si>
  <si>
    <t xml:space="preserve">44,19</t>
  </si>
  <si>
    <t xml:space="preserve">5530.60</t>
  </si>
  <si>
    <t xml:space="preserve">251</t>
  </si>
  <si>
    <t xml:space="preserve">107,144</t>
  </si>
  <si>
    <t xml:space="preserve">388.64</t>
  </si>
  <si>
    <t xml:space="preserve">56,16</t>
  </si>
  <si>
    <t xml:space="preserve">1361.64</t>
  </si>
  <si>
    <t xml:space="preserve">70,40</t>
  </si>
  <si>
    <t xml:space="preserve">1578.64</t>
  </si>
  <si>
    <t xml:space="preserve">87,44</t>
  </si>
  <si>
    <t xml:space="preserve">1221.64</t>
  </si>
  <si>
    <t xml:space="preserve">256</t>
  </si>
  <si>
    <t xml:space="preserve">211,45</t>
  </si>
  <si>
    <t xml:space="preserve">intergenic;ncRNA_exonic;ncRNA_intronic;splicing</t>
  </si>
  <si>
    <t xml:space="preserve">dist=9850;dist=7984;ENST00000539842:exon2:c.183+1A&gt;G;ENST00000539842:exon3:c.184-2A&gt;G</t>
  </si>
  <si>
    <t xml:space="preserve">1;13</t>
  </si>
  <si>
    <t xml:space="preserve">458.02</t>
  </si>
  <si>
    <t xml:space="preserve">0,8,4</t>
  </si>
  <si>
    <t xml:space="preserve">3.82882607342169e-05</t>
  </si>
  <si>
    <t xml:space="preserve">contactin associated protein-like 2;microRNA 548i-4</t>
  </si>
  <si>
    <t xml:space="preserve">FUNCTION: May play a role in the formation of functional distinct domains critical for saltatory conduction of nerve impulses in myelinated nerve fibers. Seems to demarcate the juxtaparanodal region of the axo-glial junction (By similarity). {ECO:0000250}.; </t>
  </si>
  <si>
    <t xml:space="preserve">DISEASE: Autism 15 (AUTS15) [MIM:612100]: A complex multifactorial, pervasive developmental disorder characterized by impairments in reciprocal social interaction and communication, restricted and stereotyped patterns of interests and activities, and the presence of developmental abnormalities by 3 years of age. Most individuals with autism also manifest moderate mental retardation. Note=Disease susceptibility is associated with variations affecting the gene represented in this entry.; DISEASE: Note=A chromosomal aberration involving CNTNAP2 is found in a patient with autism spectrum disorder. Paracentric inversion 46,XY,inv(7)(q11.22;q35). The inversion breakpoints disrupt the genes AUTS2 and CNTNAP2.; </t>
  </si>
  <si>
    <t xml:space="preserve">129.64</t>
  </si>
  <si>
    <t xml:space="preserve">262.64</t>
  </si>
  <si>
    <t xml:space="preserve">15</t>
  </si>
  <si>
    <t xml:space="preserve">6,9</t>
  </si>
  <si>
    <t xml:space="preserve">0.96769110706309</t>
  </si>
  <si>
    <t xml:space="preserve">dipeptidyl peptidase like 6</t>
  </si>
  <si>
    <t xml:space="preserve">FUNCTION: Promotes cell surface expression of the potassium channel KCND2 (PubMed:15454437, PubMed:19441798). Modulates the activity and gating characteristics of the potassium channel KCND2 (PubMed:18364354). Has no dipeptidyl aminopeptidase activity (PubMed:8103397, PubMed:15476821). {ECO:0000269|PubMed:15454437, ECO:0000269|PubMed:18364354, ECO:0000269|PubMed:8103397, ECO:0000305|PubMed:15476821}.; </t>
  </si>
  <si>
    <t xml:space="preserve">DISEASE: Familial paroxysmal ventricular fibrillation 2 (VF2) [MIM:612956]: A cardiac arrhythmia marked by fibrillary contractions of the ventricular muscle due to rapid repetitive excitation of myocardial fibers without coordinated contraction of the ventricle and by absence of atrial activity. {ECO:0000269|PubMed:19285295}. Note=The disease is caused by mutations affecting the gene represented in this entry. A genetic variation 340 bases upstream from the ATG start site of the DPP6 gene is the cause of familial paroxysmal ventricular fibrillation type 2.; DISEASE: Mental retardation, autosomal dominant 33 (MRD33) [MIM:616311]: A form of mental retardation, a disorder characterized by significantly below average general intellectual functioning associated with impairments in adaptive behavior and manifested during the developmental period. MRD33 patients manifest microcephaly and intellectual disability. {ECO:0000269|PubMed:23832105}. Note=The disease is caused by mutations affecting the gene represented in this entry.; </t>
  </si>
  <si>
    <t xml:space="preserve">chr8</t>
  </si>
  <si>
    <t xml:space="preserve">16,13</t>
  </si>
  <si>
    <t xml:space="preserve">1.48718449693549e-55</t>
  </si>
  <si>
    <t xml:space="preserve">myomesin 2</t>
  </si>
  <si>
    <t xml:space="preserve">FUNCTION: Major component of the vertebrate myofibrillar M band. Binds myosin, titin, and light meromyosin. This binding is dose dependent.; </t>
  </si>
  <si>
    <t xml:space="preserve">250.64</t>
  </si>
  <si>
    <t xml:space="preserve">7,8</t>
  </si>
  <si>
    <t xml:space="preserve">2.12734947334705e-05</t>
  </si>
  <si>
    <t xml:space="preserve">hair growth associated</t>
  </si>
  <si>
    <t xml:space="preserve">FUNCTION: Histone demethylase that specifically demethylates both mono- and dimethylated 'Lys-9' of histone H3. May act as a transcription regulator controlling hair biology (via targeting of collagens), neural activity, and cell cycle. {ECO:0000269|PubMed:24334705}.; </t>
  </si>
  <si>
    <t xml:space="preserve">DISEASE: Alopecia universalis congenita (ALUNC) [MIM:203655]: A rare disorder characterized by loss of hair from the entire body. No hair are present in hair follicles on skin biopsy. {ECO:0000269|PubMed:12406339, ECO:0000269|PubMed:9445480, ECO:0000269|PubMed:9736769}. Note=The disease is caused by mutations affecting the gene represented in this entry.; DISEASE: Atrichia with papular lesions (APL) [MIM:209500]: An autosomal recessive disease characterized by papillary lesions over most of the body and almost complete absence of hair. Note=The disease is caused by mutations affecting the gene represented in this entry.; DISEASE: Hypotrichosis 4 (HYPT4) [MIM:146550]: An autosomal dominant condition characterized by reduced amount of hair, alopecia, little or no eyebrows, eyelashes or body hair, and coarse, wiry, twisted hair in early childhood. {ECO:0000269|PubMed:19122663, ECO:0000269|PubMed:24961381}. Note=The disease is caused by mutations affecting the gene represented in this entry.; </t>
  </si>
  <si>
    <t xml:space="preserve">234.64</t>
  </si>
  <si>
    <t xml:space="preserve">0.0733968308677995;0.959642692100134</t>
  </si>
  <si>
    <t xml:space="preserve">potassium channel tetramerization domain containing 9;protein phosphatase 2 regulatory subunit B, alpha</t>
  </si>
  <si>
    <t xml:space="preserve">FUNCTION: The B regulatory subunit might modulate substrate selectivity and catalytic activity, and also might direct the localization of the catalytic enzyme to a particular subcellular compartment.; </t>
  </si>
  <si>
    <t xml:space="preserve">639.64</t>
  </si>
  <si>
    <t xml:space="preserve">11,27</t>
  </si>
  <si>
    <t xml:space="preserve">1.01766195600599e-08</t>
  </si>
  <si>
    <t xml:space="preserve">aspartate beta-hydroxylase</t>
  </si>
  <si>
    <t xml:space="preserve">FUNCTION: Isoform 1: specifically hydroxylates an Asp or Asn residue in certain epidermal growth factor-like (EGF) domains of a number of proteins. {ECO:0000269|PubMed:11773073}.; </t>
  </si>
  <si>
    <t xml:space="preserve">305.64</t>
  </si>
  <si>
    <t xml:space="preserve">8.86463595476286e-11</t>
  </si>
  <si>
    <t xml:space="preserve">cyclic nucleotide gated channel beta 3</t>
  </si>
  <si>
    <t xml:space="preserve">FUNCTION: Visual signal transduction is mediated by a G-protein coupled cascade using cGMP as second messenger. This protein can be activated by cGMP which leads to an opening of the cation channel and thereby causing a depolarization of rod photoreceptors. Induced a flickering channel gating, weakened the outward rectification in the presence of extracellular calcium, increased sensitivity for L-cis diltiazem and enhanced the cAMP efficiency of the channel when coexpressed with CNGA3 (By similarity). Essential for the generation of light-evoked electrical responses in the red-, green- and blue sensitive cones. {ECO:0000250, ECO:0000269|PubMed:10888875}.; </t>
  </si>
  <si>
    <t xml:space="preserve">DISEASE: Achromatopsia 3 (ACHM3) [MIM:262300]: An ocular stationary disorder due to the absence of functioning cone photoreceptors in the retina. It is characterized by total colorblindness, low visual acuity, photophobia and nystagmus. Achromatopsia type 3 patients manifest severe myopia. {ECO:0000269|PubMed:10888875, ECO:0000269|PubMed:10958649, ECO:0000269|PubMed:12357335, ECO:0000269|PubMed:14757870, ECO:0000269|PubMed:15657609, ECO:0000269|PubMed:15712225}. Note=The disease is caused by mutations affecting the gene represented in this entry.; </t>
  </si>
  <si>
    <t xml:space="preserve">609.64</t>
  </si>
  <si>
    <t xml:space="preserve">27,24</t>
  </si>
  <si>
    <t xml:space="preserve">0.999880613176069</t>
  </si>
  <si>
    <t xml:space="preserve">grainyhead like transcription factor 2</t>
  </si>
  <si>
    <t xml:space="preserve">FUNCTION: Transcription factor playing an important role in primary neurulation and in epithelial development (PubMed:25152456). Binds directly to the consensus DNA sequence 5'-AACCGGTT-3' acting as an activator and repressor on distinct target genes (By similarity). During embryogenesis, plays unique and cooperative roles with GRHL3 in establishing distinct zones of primary neurulation. Essential for closure 3 (rostral end of the forebrain), functions cooperatively with GRHL3 in closure 2 (forebrain/midbrain boundary) and posterior neuropore closure (By similarity). Regulates epithelial morphogenesis acting as a target gene-associated transcriptional activator of apical junctional complex components. Up-regulates of CLDN3 and CLDN4, as well as of RAB25, which increases the CLDN4 protein and its localization at tight junctions (By similarity). Comprises an essential component of the transcriptional machinery that establishes appropriate expression levels of CLDN4 and CDH1 in different types of epithelia. Exhibits functional redundancy with GRHL3 in epidermal morphogenetic events and epidermal wound repair (By similarity). In lung, forms a regulatory loop with NKX2-1 that coordinates lung epithelial cell morphogenesis and differentiation (By similarity). In keratinocytes, plays a role in telomerase activation during cellular proliferation, regulates TERT expression by binding to TERT promoter region and inhibiting DNA methylation at the 5'-CpG island, possibly by interfering with DNMT1 enzyme activity (PubMed:19015635, PubMed:20938050). In addition, impairs keratinocyte differentiation and epidermal function by inhibiting the expression of genes clustered at the epidermal differentiation complex (EDC) as well as GRHL1 and GRHL3 through epigenetic mechanisms (PubMed:23254293). {ECO:0000250|UniProtKB:Q8K5C0, ECO:0000269|PubMed:19015635, ECO:0000269|PubMed:20938050, ECO:0000269|PubMed:20978075, ECO:0000269|PubMed:23254293, ECO:0000269|PubMed:25152456, ECO:0000305|PubMed:12175488}.; </t>
  </si>
  <si>
    <t xml:space="preserve">DISEASE: Deafness, autosomal dominant, 28 (DFNA28) [MIM:608641]: A form of non-syndromic sensorineural hearing loss. Sensorineural deafness results from damage to the neural receptors of the inner ear, the nerve pathways to the brain, or the area of the brain that receives sound information. DFNA28 is characterized by mild to moderate hearing loss across most frequencies that progresses to severe loss in the higher frequencies by the fifth decade. {ECO:0000269|PubMed:12393799}. Note=The disease is caused by mutations affecting the gene represented in this entry.; DISEASE: Ectodermal dysplasia/short stature syndrome (ECTDS) [MIM:616029]: An autosomal recessive ectodermal dysplasia syndrome characterized by nail dystrophy and/or loss, oral mucosa and/or tongue pigmentation, abnormal dentition, keratoderma affecting the margins of the palms and soles, focal hyperkeratosis of the dorsal aspects of the hands and feet, and short stature. {ECO:0000269|PubMed:25152456}. Note=The disease is caused by mutations affecting the gene represented in this entry.; </t>
  </si>
  <si>
    <t xml:space="preserve">432.64</t>
  </si>
  <si>
    <t xml:space="preserve">15,15</t>
  </si>
  <si>
    <t xml:space="preserve">318.69</t>
  </si>
  <si>
    <t xml:space="preserve">1,9</t>
  </si>
  <si>
    <t xml:space="preserve">0.566087060043687</t>
  </si>
  <si>
    <t xml:space="preserve">TATA-box binding protein associated factor 2</t>
  </si>
  <si>
    <t xml:space="preserve">FUNCTION: Transcription factor TFIID is one of the general factors required for accurate and regulated initiation by RNA polymerase II. TFIID is a multimeric protein complex that plays a central role in mediating promoter responses to various activators and repressors. It requires core promoter-specific cofactors for productive transcription stimulation. TAF2 stabilizes TFIID binding to core promoter. {ECO:0000269|PubMed:9418870, ECO:0000269|PubMed:9774672}.; </t>
  </si>
  <si>
    <t xml:space="preserve">1001.64</t>
  </si>
  <si>
    <t xml:space="preserve">38,35</t>
  </si>
  <si>
    <t xml:space="preserve">FER1L6 antisense RNA 2</t>
  </si>
  <si>
    <t xml:space="preserve">chr9</t>
  </si>
  <si>
    <t xml:space="preserve">43,9</t>
  </si>
  <si>
    <t xml:space="preserve">0.642141452095713</t>
  </si>
  <si>
    <t xml:space="preserve">COBW domain containing 1</t>
  </si>
  <si>
    <t xml:space="preserve">135.04</t>
  </si>
  <si>
    <t xml:space="preserve">43,10</t>
  </si>
  <si>
    <t xml:space="preserve">4.79797626819515e-10</t>
  </si>
  <si>
    <t xml:space="preserve">protease, serine 3</t>
  </si>
  <si>
    <t xml:space="preserve">FUNCTION: Digestive protease specialized for the degradation of trypsin inhibitors. In the ileum, may be involved in defensin processing, including DEFA5. {ECO:0000269|PubMed:12021776, ECO:0000269|PubMed:14507909}.; </t>
  </si>
  <si>
    <t xml:space="preserve">1185.64</t>
  </si>
  <si>
    <t xml:space="preserve">34,47</t>
  </si>
  <si>
    <t xml:space="preserve">UTR3;intronic</t>
  </si>
  <si>
    <t xml:space="preserve">uc031tek.1:c.*151A&gt;G</t>
  </si>
  <si>
    <t xml:space="preserve">4.34508835544123e-09</t>
  </si>
  <si>
    <t xml:space="preserve">isoleucyl-tRNA synthetase</t>
  </si>
  <si>
    <t xml:space="preserve">283.60</t>
  </si>
  <si>
    <t xml:space="preserve">26,27</t>
  </si>
  <si>
    <t xml:space="preserve">NM_153366:exon46:c.10505-2-&gt;T;uc010mty.3:exon13:c.4283-2-&gt;T;uc010mtz.3:exon46:c.10505-2-&gt;T;ENST00000401783:exon46:c.10505-2-&gt;T;ENST00000374469:exon46:c.10436-2-&gt;T;ENST00000297826:exon11:c.4283-2-&gt;T</t>
  </si>
  <si>
    <t xml:space="preserve">0.589007650495336</t>
  </si>
  <si>
    <t xml:space="preserve">sushi, von Willebrand factor type A, EGF and pentraxin domain containing 1</t>
  </si>
  <si>
    <t xml:space="preserve">FUNCTION: May play a role in the cell attachment process. {ECO:0000250}.; </t>
  </si>
  <si>
    <t xml:space="preserve">32,31</t>
  </si>
  <si>
    <t xml:space="preserve">9.68169038709646e-05</t>
  </si>
  <si>
    <t xml:space="preserve">regulator of G-protein signaling 3</t>
  </si>
  <si>
    <t xml:space="preserve">FUNCTION: Down-regulates signaling from heterotrimeric G-proteins by increasing the GTPase activity of the alpha subunits, thereby driving them into their inactive GDP-bound form. Down-regulates G- protein-mediated release of inositol phosphates and activation of MAP kinases. {ECO:0000269|PubMed:10749886, ECO:0000269|PubMed:11294858, ECO:0000269|PubMed:8602223, ECO:0000269|PubMed:9858594}.; </t>
  </si>
  <si>
    <t xml:space="preserve">1155.60</t>
  </si>
  <si>
    <t xml:space="preserve">37,37</t>
  </si>
  <si>
    <t xml:space="preserve">KIF12:NM_138424:exon16:c.1486delC:p.Q496Sfs*30;KIF12:uc004bif.3:exon16:c.1486delC:p.Q496Sfs*30;ENSG00000136883:ENST00000374118:exon16:c.1486delC:p.Q496Sfs*30</t>
  </si>
  <si>
    <t xml:space="preserve">1.78101316758064e-05</t>
  </si>
  <si>
    <t xml:space="preserve">kinesin family member 12</t>
  </si>
  <si>
    <t xml:space="preserve">57.58</t>
  </si>
  <si>
    <t xml:space="preserve">48</t>
  </si>
  <si>
    <t xml:space="preserve">39,9</t>
  </si>
  <si>
    <t xml:space="preserve">uc011lxw.3:exon20:UTR5;uc011lya.3:exon19:UTR5;uc011lxz.3:exon19:UTR5;ENST00000480112:exon19:c.2104-1-&gt;A;ENST00000473282:exon20:c.2234-1-&gt;A;ENST00000473282:exon20:UTR3</t>
  </si>
  <si>
    <t xml:space="preserve">5.70875541213003e-16</t>
  </si>
  <si>
    <t xml:space="preserve">CDK5 regulatory subunit associated protein 2</t>
  </si>
  <si>
    <t xml:space="preserve">FUNCTION: Potential regulator of CDK5 activity via its interaction with CDK5R1. Negative regulator of centriole disengagement (licensing) which maintains centriole engagement and cohesion. Involved in regulation of mitotic spindle orientation (By similarity). Plays a role in the spindle checkpoint activation by acting as a transcriptional regulator of both BUBR1 and MAD2 promoter. Together with MAPRE1, it may promote microtubule polymerization, bundle formation, growth and dynamics at the plus ends. Regulates centrosomal maturation by recruitment of a gamma- tubulin ring complex onto centrosomes (PubMed:26485573). {ECO:0000250|UniProtKB:Q8K389, ECO:0000269|PubMed:17959831, ECO:0000269|PubMed:18042621, ECO:0000269|PubMed:19282672, ECO:0000269|PubMed:19553473, ECO:0000269|PubMed:26485573}.; </t>
  </si>
  <si>
    <t xml:space="preserve">DISEASE: Microcephaly 3, primary, autosomal recessive (MCPH3) [MIM:604804]: A disease defined as a head circumference more than 3 standard deviations below the age-related mean. Brain weight is markedly reduced and the cerebral cortex is disproportionately small. Despite this marked reduction in size, the gyral pattern is relatively well preserved, with no major abnormality in cortical architecture. Affected individuals are mentally retarded. Primary microcephaly is further defined by the absence of other syndromic features or significant neurological deficits due to degenerative brain disorder. {ECO:0000269|PubMed:15793586}. Note=The disease is caused by mutations affecting the gene represented in this entry.; </t>
  </si>
  <si>
    <t xml:space="preserve">52.64</t>
  </si>
  <si>
    <t xml:space="preserve">0.995642238517627</t>
  </si>
  <si>
    <t xml:space="preserve">PHD finger protein 19</t>
  </si>
  <si>
    <t xml:space="preserve">FUNCTION: Polycomb group (PcG) that specifically binds histone H3 trimethylated at 'Lys-36' (H3K36me3) and recruits the PRC2 complex. Probably involved in the transition from an active state to a repressed state in embryonic stem cells: acts by binding to H3K36me3, a mark for transcriptional activation, and recruiting H3K36me3 histone demethylases NO66 or KDM2B, leading to demethylation of H3K36 and recruitment of the PRC2 complex that mediates H3K27me3 methylation, followed by de novo silencing. Recruits the PRC2 complex to CpG islands and contributes to embryonic stem cell self-renewal. Also binds dimethylated at 'Lys- 36' (H3K36me2). Isoform 1 and isoform 2 inhibit transcription from an HSV-tk promoter. {ECO:0000269|PubMed:15563832, ECO:0000269|PubMed:21143197, ECO:0000269|PubMed:23104054, ECO:0000269|PubMed:23160351}.; </t>
  </si>
  <si>
    <t xml:space="preserve">299.64</t>
  </si>
  <si>
    <t xml:space="preserve">5,9</t>
  </si>
  <si>
    <t xml:space="preserve">0.999652087746425</t>
  </si>
  <si>
    <t xml:space="preserve">DAB2 interacting protein</t>
  </si>
  <si>
    <t xml:space="preserve">FUNCTION: Functions as a scaffold protein implicated in the regulation of a large spectrum of both general and specialized signaling pathways. Involved in several processes such as innate immune response, inflammation and cell growth inhibition, apoptosis, cell survival, angiogenesis, cell migration and maturation. Plays also a role in cell cycle checkpoint control; reduces G1 phase cyclin levels resulting in G0/G1 cell cycle arrest. Mediates signal transduction by receptor-mediated inflammatory signals, such as the tumor necrosis factor (TNF), interferon (IFN) or lipopolysaccharide (LPS). Modulates the balance between phosphatidylinositol 3-kinase (PI3K)-AKT-mediated cell survival and apoptosis stimulated kinase (MAP3K5)-JNK signaling pathways; sequesters both AKT1 and MAP3K5 and counterbalances the activity of each kinase by modulating their phosphorylation status in response to proinflammatory stimuli. Acts as a regulator of the endoplasmic reticulum (ER) unfolded protein response (UPR) pathway; specifically involved in transduction of the ER stress-response to the JNK cascade through ERN1. Mediates TNF-alpha-induced apoptosis activation by facilitating dissociation of inhibitor 14-3-3 from MAP3K5; recruits the PP2A phosphatase complex which dephosphorylates MAP3K5 on 'Ser-966', leading to the dissociation of 13-3-3 proteins and activation of the MAP3K5-JNK signaling pathway in endothelial cells. Mediates also TNF/TRAF2-induced MAP3K5-JNK activation, while it inhibits CHUK-NF-kappa-B signaling. Acts a negative regulator in the IFN-gamma-mediated JAK-STAT signaling cascade by inhibiting smooth muscle cell (VSMCs) proliferation and intimal expansion, and thus, prevents graft arteriosclerosis (GA). Acts as a GTPase-activating protein (GAP) for the ADP ribosylation factor 6 (ARF6) and Ras. Promotes hydrolysis of the ARF6-bound GTP and thus, negatively regulates phosphatidylinositol 4,5- bisphosphate (PIP2)-dependent TLR4-TIRAP-MyD88 and NF-kappa-B signaling pathways in endothelial cells in response to lipopolysaccharides (LPS). Binds specifically to phosphatidylinositol 4-phosphate (PtdIns4P) and phosphatidylinositol 3-phosphate (PtdIns3P). In response to vascular endothelial growth factor (VEGFA), acts as a negative regulator of the VEGFR2-PI3K-mediated angiogenic signaling pathway by inhibiting endothelial cell migration and tube formation. In the developing brain, promotes both the transition from the multipolar to the bipolar stage and the radial migration of cortical neurons from the ventricular zone toward the superficial layer of the neocortex in a glial-dependent locomotion process. Probable downstream effector of the Reelin signaling pathway; promotes Purkinje cell (PC) dendrites development and formation of cerebellar synapses. Functions also as a tumor suppressor protein in prostate cancer progression; prevents cell proliferation and epithelial-to-mesenchymal transition (EMT) through activation of the glycogen synthase kinase-3 beta (GSK3B)-induced beta-catenin and inhibition of PI3K-AKT and Ras-MAPK survival downstream signaling cascades, respectively. {ECO:0000269|PubMed:12813029, ECO:0000269|PubMed:17389591, ECO:0000269|PubMed:18292600, ECO:0000269|PubMed:19033661, ECO:0000269|PubMed:19903888, ECO:0000269|PubMed:19948740, ECO:0000269|PubMed:20080667, ECO:0000269|PubMed:20154697, ECO:0000269|PubMed:21700930, ECO:0000269|PubMed:22696229}.; </t>
  </si>
  <si>
    <t xml:space="preserve">DISEASE: Note=A chromosomal aberration involving DAB2IP is found in a patient with acute myeloid leukemia (AML). Translocation t(9;11)(q34;q23) with KMT2A/MLL1. May give rise to a KMT2A/MLL1- DAB2IP fusion protein lacking the PH domain (PubMed:14978793). {ECO:0000269|PubMed:14978793}.; </t>
  </si>
  <si>
    <t xml:space="preserve">1238.64</t>
  </si>
  <si>
    <t xml:space="preserve">89</t>
  </si>
  <si>
    <t xml:space="preserve">41,48</t>
  </si>
  <si>
    <t xml:space="preserve">0.592665483652486</t>
  </si>
  <si>
    <t xml:space="preserve">pre-B-cell leukemia homeobox 3</t>
  </si>
  <si>
    <t xml:space="preserve">FUNCTION: Transcriptional activator that binds the sequence 5'- ATCAATCAA-3'.; </t>
  </si>
  <si>
    <t xml:space="preserve">AGC</t>
  </si>
  <si>
    <t xml:space="preserve">20,3</t>
  </si>
  <si>
    <t xml:space="preserve">0.654809128002237</t>
  </si>
  <si>
    <t xml:space="preserve">adenylate kinase 1</t>
  </si>
  <si>
    <t xml:space="preserve">FUNCTION: Catalyzes the reversible transfer of the terminal phosphate group between ATP and AMP. Also displays broad nucleoside diphosphate kinase activity. Plays an important role in cellular energy homeostasis and in adenine nucleotide metabolism. {ECO:0000255|HAMAP-Rule:MF_03171, ECO:0000269|PubMed:23416111}.; </t>
  </si>
  <si>
    <t xml:space="preserve">DISEASE: Hemolytic anemia due to adenylate kinase deficiency (HAAKD) [MIM:612631]: A disease characterized by hemolytic anemia and undetectable erythrocyte adenylate kinase activity. {ECO:0000269|PubMed:12649162, ECO:0000269|PubMed:2542324, ECO:0000269|PubMed:9432020}. Note=The disease is caused by mutations affecting the gene represented in this entry.; </t>
  </si>
  <si>
    <t xml:space="preserve">1206.64</t>
  </si>
  <si>
    <t xml:space="preserve">63,47</t>
  </si>
  <si>
    <t xml:space="preserve">0.000596069473927577</t>
  </si>
  <si>
    <t xml:space="preserve">lipocalin 2</t>
  </si>
  <si>
    <t xml:space="preserve">FUNCTION: Iron-trafficking protein involved in multiple processes such as apoptosis, innate immunity and renal development. Binds iron through association with 2,5-dihydroxybenzoic acid (2,5- DHBA), a siderophore that shares structural similarities with bacterial enterobactin, and delivers or removes iron from the cell, depending on the context. Iron-bound form (holo-24p3) is internalized following binding to the SLC22A17 (24p3R) receptor, leading to release of iron and subsequent increase of intracellular iron concentration. In contrast, association of the iron-free form (apo-24p3) with the SLC22A17 (24p3R) receptor is followed by association with an intracellular siderophore, iron chelation and iron transfer to the extracellular medium, thereby reducing intracellular iron concentration. Involved in apoptosis due to interleukin-3 (IL3) deprivation: iron-loaded form increases intracellular iron concentration without promoting apoptosis, while iron-free form decreases intracellular iron levels, inducing expression of the proapoptotic protein BCL2L11/BIM, resulting in apoptosis. Involved in innate immunity, possibly by sequestrating iron, leading to limit bacterial growth. {ECO:0000269|PubMed:12453413}.; </t>
  </si>
  <si>
    <t xml:space="preserve">526.02</t>
  </si>
  <si>
    <t xml:space="preserve">15,24,16</t>
  </si>
  <si>
    <t xml:space="preserve">1.53824816142355e-05</t>
  </si>
  <si>
    <t xml:space="preserve">GLE1, RNA export mediator;microRNA 1268a</t>
  </si>
  <si>
    <t xml:space="preserve">FUNCTION: Required for the export of mRNAs containing poly(A) tails from the nucleus into the cytoplasm. May be involved in the terminal step of the mRNA transport through the nuclear pore complex (NPC). {ECO:0000269|PubMed:12668658, ECO:0000269|PubMed:16000379, ECO:0000269|PubMed:9618489}.; </t>
  </si>
  <si>
    <t xml:space="preserve">DISEASE: Lethal congenital contracture syndrome 1 (LCCS1) [MIM:253310]: A form of lethal congenital contracture syndrome, an autosomal recessive disorder characterized by degeneration of anterior horn neurons, extreme skeletal muscle atrophy, and congenital non-progressive joint contractures (arthrogryposis). The contractures can involve the upper or lower limbs and/or the vertebral column, leading to various degrees of flexion or extension limitations evident at birth. LCCS1 patients manifest early fetal hydrops and akinesia, micrognathia, pulmonary hypoplasia, pterygia, and multiple joint contractures. It leads to prenatal death. {ECO:0000269|PubMed:18204449}. Note=The disease is caused by mutations affecting the gene represented in this entry.; DISEASE: Lethal arthrogryposis with anterior horn cell disease (LAAHD) [MIM:611890]: A disorder characterized by fetal akinesia, arthrogryposis and motor neuron loss. The fetus often survives delivery, but dies early as a result of respiratory failure. Neuropathological findings resemble those of lethal congenital contracture syndrome type 1, but are less severe. {ECO:0000269|PubMed:18204449}. Note=The disease is caused by mutations affecting the gene represented in this entry.; </t>
  </si>
  <si>
    <t xml:space="preserve">479.64</t>
  </si>
  <si>
    <t xml:space="preserve">10,15</t>
  </si>
  <si>
    <t xml:space="preserve">3;2</t>
  </si>
  <si>
    <t xml:space="preserve">0.999999999999786</t>
  </si>
  <si>
    <t xml:space="preserve">microRNA 1268a;spectrin alpha, non-erythrocytic 1</t>
  </si>
  <si>
    <t xml:space="preserve">FUNCTION: Fodrin, which seems to be involved in secretion, interacts with calmodulin in a calcium-dependent manner and is thus candidate for the calcium-dependent movement of the cytoskeleton at the membrane.; </t>
  </si>
  <si>
    <t xml:space="preserve">DISEASE: Epileptic encephalopathy, early infantile, 5 (EIEE5) [MIM:613477]: A disorder characterized by seizures associated with hypsarrhythmia, profound mental retardation with lack of visual attention and speech development, as well as spastic quadriplegia. {ECO:0000269|PubMed:20493457}. Note=The disease is caused by mutations affecting the gene represented in this entry.; </t>
  </si>
  <si>
    <t xml:space="preserve">12,9</t>
  </si>
  <si>
    <t xml:space="preserve">983.64</t>
  </si>
  <si>
    <t xml:space="preserve">28,34</t>
  </si>
  <si>
    <t xml:space="preserve">0.40245053975409;7.27866245193078e-10</t>
  </si>
  <si>
    <t xml:space="preserve">N-terminal Xaa-Pro-Lys N-methyltransferase 1;chromosome 9 open reading frame 50</t>
  </si>
  <si>
    <t xml:space="preserve">FUNCTION: Distributive alpha-N-methyltransferase that methylates the N-terminus of target proteins containing the N-terminal motif [Ala/Pro/Ser]-Pro-Lys when the initiator Met is cleaved. Specifically catalyzes mono-, di- or tri-methylation of exposed alpha-amino group of Ala or Ser residue in the [Ala/Ser]-Pro-Lys motif and mono- or di-methylation of Pro in the Pro-Pro-Lys motif. Some of the substrates may be primed by METTL11B-mediated monomethylation. Responsible for the N-terminal methylation of KLHL31, MYL2, MYL3, RB1, RCC1, RPL23A and SET. Required during mitosis for normal bipolar spindle formation and chromosome segregation via its action on RCC1. {ECO:0000269|PubMed:20481588, ECO:0000269|PubMed:20668449, ECO:0000269|PubMed:24090352}.; </t>
  </si>
  <si>
    <t xml:space="preserve">48.60</t>
  </si>
  <si>
    <t xml:space="preserve">3,5</t>
  </si>
  <si>
    <t xml:space="preserve">0.993841692882668</t>
  </si>
  <si>
    <t xml:space="preserve">nucleoporin 214kDa</t>
  </si>
  <si>
    <t xml:space="preserve">FUNCTION: May serve as a docking site in the receptor-mediated import of substrates across the nuclear pore complex.; </t>
  </si>
  <si>
    <t xml:space="preserve">DISEASE: Note=A chromosomal aberration involving NUP214 is found in a subset of acute myeloid leukemia (AML); also known as acute non-lymphocytic leukemia. Translocation t(6;9)(p23;q34) with DEK. It results in the formation of a DEK-CAN fusion gene. {ECO:0000269|PubMed:1549122}.; DISEASE: Note=A chromosomal aberration involving NUP214 is found in some cases of acute undifferentiated leukemia (AUL). Translocation t(6;9)(q21;q34.1) with SET. {ECO:0000269|PubMed:1630450}.; </t>
  </si>
  <si>
    <t xml:space="preserve">1580.64</t>
  </si>
  <si>
    <t xml:space="preserve">100</t>
  </si>
  <si>
    <t xml:space="preserve">48,52</t>
  </si>
  <si>
    <t xml:space="preserve">0.0710586670580913</t>
  </si>
  <si>
    <t xml:space="preserve">ADAMTS like 2</t>
  </si>
  <si>
    <t xml:space="preserve">DISEASE: Geleophysic dysplasia 1 (GPHYSD1) [MIM:231050]: An autosomal recessive disorder characterized by severe short stature, short hands and feet, joint limitations, and skin thickening. Radiologic features include delayed bone age, cone- shaped epiphyses, shortened long tubular bones, and ovoid vertebral bodies. Affected individuals have characteristic facial features including a 'happy' face with full cheeks, shortened nose, hypertelorism, long and flat philtrum, and thin upper lip. Other distinctive features include progressive cardiac valvular thickening often leading to an early death, toe walking, tracheal stenosis, respiratory insufficiency, and lysosomal-like storage vacuoles in various tissues. {ECO:0000269|PubMed:18677313, ECO:0000269|PubMed:21415077}. Note=The disease is caused by mutations affecting the gene represented in this entry.; </t>
  </si>
  <si>
    <t xml:space="preserve">337.64</t>
  </si>
  <si>
    <t xml:space="preserve">8,10</t>
  </si>
  <si>
    <t xml:space="preserve">0.999999994320622</t>
  </si>
  <si>
    <t xml:space="preserve">notch 1</t>
  </si>
  <si>
    <t xml:space="preserve">FUNCTION: Functions as a receptor for membrane-bound ligands Jagged1, Jagged2 and Delta1 to regulate cell-fate determination. Upon ligand activation through the released notch intracellular domain (NICD) it forms a transcriptional activator complex with RBPJ/RBPSUH and activates genes of the enhancer of split locus. Affects the implementation of differentiation, proliferation and apoptotic programs. Involved in angiogenesis; negatively regulates endothelial cell proliferation and migration and angiogenic sprouting. Involved in the maturation of both CD4+ and CD8+ cells in the thymus. Important for follicular differentiation and possibly cell fate selection within the follicle. During cerebellar development, functions as a receptor for neuronal DNER and is involved in the differentiation of Bergmann glia. Represses neuronal and myogenic differentiation. May play an essential role in postimplantation development, probably in some aspect of cell specification and/or differentiation. May be involved in mesoderm development, somite formation and neurogenesis. May enhance HIF1A function by sequestering HIF1AN away from HIF1A. Required for the THBS4 function in regulating protective astrogenesis from the subventricular zone (SVZ) niche after injury. Involved in determination of left/right symmetry by modulating the balance between motile and immotile (sensory) cilia at the left-right organiser (LRO). {ECO:0000269|PubMed:20616313}.; </t>
  </si>
  <si>
    <t xml:space="preserve">DISEASE: Aortic valve disease 1 (AOVD1) [MIM:109730]: A common defect in the aortic valve in which two rather than three leaflets are present. It is often associated with aortic valve calcification, stenosis and insufficiency. In extreme cases, the blood flow may be so restricted that the left ventricle fails to grow, resulting in hypoplastic left heart syndrome. {ECO:0000269|PubMed:16025100}. Note=The disease is caused by mutations affecting the gene represented in this entry.; DISEASE: Adams-Oliver syndrome 5 (AOS5) [MIM:616028]: A form of Adams-Oliver syndrome, a disorder characterized by the congenital absence of skin (aplasia cutis congenita) in combination with transverse limb defects. Aplasia cutis congenita can be located anywhere on the body, but in the vast majority of the cases, it is present on the posterior parietal region where it is often associated with an underlying defect of the parietal bones. Limb abnormalities are typically limb truncation defects affecting the distal phalanges or entire digits (true ectrodactyly). Only rarely, metatarsals/metacarpals or more proximal limb structures are also affected. Apart from transverse limb defects, syndactyly, most commonly of second and third toes, can also be observed. The clinical features are highly variable and can also include cardiovascular malformations, brain abnormalities and vascular defects such as cutis marmorata and dilated scalp veins. {ECO:0000269|PubMed:25132448}. Note=The disease is caused by mutations affecting the gene represented in this entry.; </t>
  </si>
  <si>
    <t xml:space="preserve">1081.64</t>
  </si>
  <si>
    <t xml:space="preserve">86</t>
  </si>
  <si>
    <t xml:space="preserve">42,44</t>
  </si>
  <si>
    <t xml:space="preserve">UTR5;exonic;intronic</t>
  </si>
  <si>
    <t xml:space="preserve">uc010ncf.1:c.-1999G&gt;A;ENSG00000187609:ENST00000491734:exon3:c.G320A:p.R107H</t>
  </si>
  <si>
    <t xml:space="preserve">1.18854775167792e-08</t>
  </si>
  <si>
    <t xml:space="preserve">exonuclease 3'-5' domain containing 3</t>
  </si>
  <si>
    <t xml:space="preserve">FUNCTION: Possesses 3'-5' exoribonuclease activity. Required for 3'-end trimming of AGO1-bound miRNAs (By similarity). {ECO:0000250}.; </t>
  </si>
  <si>
    <t xml:space="preserve">160.64</t>
  </si>
  <si>
    <t xml:space="preserve">6.22823670158545e-27</t>
  </si>
  <si>
    <t xml:space="preserve">patatin like phospholipase domain containing 7</t>
  </si>
  <si>
    <t xml:space="preserve">FUNCTION: Serine hydrolase, whose specific chemical modification by certain organophosphorus (OP) compounds leads to distal axonopathy. {ECO:0000250}.; </t>
  </si>
  <si>
    <t xml:space="preserve">54.60</t>
  </si>
  <si>
    <t xml:space="preserve">0.99999990401202</t>
  </si>
  <si>
    <t xml:space="preserve">euchromatic histone-lysine N-methyltransferase 1</t>
  </si>
  <si>
    <t xml:space="preserve">FUNCTION: Histone methyltransferase that specifically mono- and dimethylates 'Lys-9' of histone H3 (H3K9me1 and H3K9me2, respectively) in euchromatin. H3K9me represents a specific tag for epigenetic transcriptional repression by recruiting HP1 proteins to methylated histones. Also weakly methylates 'Lys-27' of histone H3 (H3K27me). Also required for DNA methylation, the histone methyltransferase activity is not required for DNA methylation, suggesting that these 2 activities function independently. Probably targeted to histone H3 by different DNA-binding proteins like E2F6, MGA, MAX and/or DP1. During G0 phase, it probably contributes to silencing of MYC- and E2F-responsive genes, suggesting a role in G0/G1 transition in cell cycle. In addition to the histone methyltransferase activity, also methylates non- histone proteins: mediates dimethylation of 'Lys-373' of p53/TP53. {ECO:0000269|PubMed:12004135, ECO:0000269|PubMed:20118233}.; </t>
  </si>
  <si>
    <t xml:space="preserve">DISEASE: Kleefstra syndrome (KLESTS) [MIM:610253]: A syndrome characterized by severe mental retardation, hypotonia, brachy(micro)cephaly, and facial dysmorphisms. Additionally, congenital heart defects, urogenital defects, epilepsy and behavioral problems are frequently observed. {ECO:0000269|PubMed:16826528, ECO:0000269|PubMed:19264732}. Note=The disease is caused by mutations affecting the gene represented in this entry (PubMed:16826528). The syndrome can be either caused by intragenic EHMT1 mutations leading to haploinsufficiency of the EHMT1 gene or by a submicroscopic 9q34.3 deletion. Although it is not known if and to what extent other genes in the 9q34.3 region contribute to the syndrome observed in deletion cases, EHMT1 seems to be the major determinant of the core disease phenotype (PubMed:19264732). {ECO:0000269|PubMed:16826528, ECO:0000269|PubMed:19264732}.; </t>
  </si>
  <si>
    <t xml:space="preserve">chrX</t>
  </si>
  <si>
    <t xml:space="preserve">3138.64</t>
  </si>
  <si>
    <t xml:space="preserve">98,85</t>
  </si>
  <si>
    <t xml:space="preserve">ARSD:NM_009589:exon7:c.T1147C:p.X383Q</t>
  </si>
  <si>
    <t xml:space="preserve">0.292872844082226</t>
  </si>
  <si>
    <t xml:space="preserve">arylsulfatase D</t>
  </si>
  <si>
    <t xml:space="preserve">1509.64</t>
  </si>
  <si>
    <t xml:space="preserve">2629.06</t>
  </si>
  <si>
    <t xml:space="preserve">1,66</t>
  </si>
  <si>
    <t xml:space="preserve">0.984407235920156</t>
  </si>
  <si>
    <t xml:space="preserve">protein phosphatase with EF-hand domain 1</t>
  </si>
  <si>
    <t xml:space="preserve">FUNCTION: May have a role in the recovery or adaptation response of photoreceptors. May have a role in development.; </t>
  </si>
  <si>
    <t xml:space="preserve">15,2</t>
  </si>
  <si>
    <t xml:space="preserve">0.999945621390125</t>
  </si>
  <si>
    <t xml:space="preserve">BCL6 corepressor</t>
  </si>
  <si>
    <t xml:space="preserve">FUNCTION: Transcriptional corepressor. May specifically inhibit gene expression when recruited to promoter regions by sequence- specific DNA-binding proteins such as BCL6 and MLLT3. This repression may be mediated at least in part by histone deacetylase activities which can associate with this corepressor. Involved in the repression of TFAP2A; impairs binding of BCL6 and KDM2B to TFAP2A promoter regions. Via repression of TFAP2A acts as a negative regulator of osteo-dentiogenic capacity in adult stem cells; the function implies inhibition of methylation on histone H3 'Lys-4' (H3K4me3) and 'Lys-36' (H3K36me2). {ECO:0000269|PubMed:10898795, ECO:0000269|PubMed:15004558, ECO:0000269|PubMed:18280243, ECO:0000269|PubMed:19578371, ECO:0000269|PubMed:23911289}.; </t>
  </si>
  <si>
    <t xml:space="preserve">14,2</t>
  </si>
  <si>
    <t xml:space="preserve">5597.60</t>
  </si>
  <si>
    <t xml:space="preserve">635</t>
  </si>
  <si>
    <t xml:space="preserve">463,172</t>
  </si>
  <si>
    <t xml:space="preserve">FAM104B:NM_001166699:exon3:c.182_183insA:p.S61Rfs*13,FAM104B:NM_001166700:exon3:c.182_183insA:p.S61Rfs*13,FAM104B:NM_001166701:exon3:c.179_180insA:p.S60Rfs*13,FAM104B:NM_001166702:exon3:c.170_171insA:p.S57Rfs*13,FAM104B:NM_001166703:exon3:c.176_177insA:p.S59Rfs*13,FAM104B:NM_138362:exon3:c.179_180insA:p.S60Rfs*13;FAM104B:uc004dug.2:exon3:c.182_183insA:p.S61Rfs*13,FAM104B:uc004duh.2:exon3:c.179_180insA:p.S60Rfs*13,FAM104B:uc004dui.4:exon3:c.182_183insA:p.S61Rfs*13,FAM104B:uc022bxm.1:exon3:c.176_177insA:p.S59Rfs*13,FAM104B:uc022bxn.1:exon3:c.170_171insA:p.S57Rfs*13,FAM104B:uc022bxo.1:exon3:c.179_180insA:p.S60Rfs*13;ENSG00000182518:ENST00000332132:exon3:c.182_183insA:p.S61Rfs*13,ENSG00000182518:ENST00000358460:exon3:c.179_180insA:p.S60Rfs*13,ENSG00000182518:ENST00000425133:exon3:c.182_183insA:p.S61Rfs*13,ENSG00000182518:ENST00000477847:exon3:c.170_171insA:p.S57Rfs*13,ENSG00000182518:ENST00000489298:exon3:c.176_177insA:p.S59Rfs*13</t>
  </si>
  <si>
    <t xml:space="preserve">0.00870993932895896</t>
  </si>
  <si>
    <t xml:space="preserve">family with sequence similarity 104 member B</t>
  </si>
  <si>
    <t xml:space="preserve">AlleleImbalance</t>
  </si>
  <si>
    <t xml:space="preserve">5158.60</t>
  </si>
  <si>
    <t xml:space="preserve">622</t>
  </si>
  <si>
    <t xml:space="preserve">465,157</t>
  </si>
  <si>
    <t xml:space="preserve">FAM104B:NM_001166699:exon3:c.179delC:p.A60Efs*8,FAM104B:NM_001166700:exon3:c.179delC:p.A60Efs*8,FAM104B:NM_001166701:exon3:c.176delC:p.A59Efs*8,FAM104B:NM_001166702:exon3:c.167delC:p.A56Efs*8,FAM104B:NM_001166703:exon3:c.173delC:p.A58Efs*8,FAM104B:NM_138362:exon3:c.176delC:p.A59Efs*8;FAM104B:uc004dug.2:exon3:c.179delC:p.A60Efs*8,FAM104B:uc004duh.2:exon3:c.176delC:p.A59Efs*8,FAM104B:uc004dui.4:exon3:c.179delC:p.A60Efs*8,FAM104B:uc022bxm.1:exon3:c.173delC:p.A58Efs*8,FAM104B:uc022bxn.1:exon3:c.167delC:p.A56Efs*8,FAM104B:uc022bxo.1:exon3:c.176delC:p.A59Efs*8;ENSG00000182518:ENST00000332132:exon3:c.179delC:p.A60Efs*8,ENSG00000182518:ENST00000358460:exon3:c.176delC:p.A59Efs*8,ENSG00000182518:ENST00000425133:exon3:c.179delC:p.A60Efs*8,ENSG00000182518:ENST00000477847:exon3:c.167delC:p.A56Efs*8,ENSG00000182518:ENST00000489298:exon3:c.173delC:p.A58Efs*8</t>
  </si>
  <si>
    <t xml:space="preserve">1632.06</t>
  </si>
  <si>
    <t xml:space="preserve">0,44</t>
  </si>
  <si>
    <t xml:space="preserve">0.000110511267388792</t>
  </si>
  <si>
    <t xml:space="preserve">V-set and immunoglobulin domain containing 4</t>
  </si>
  <si>
    <t xml:space="preserve">FUNCTION: Phagocytic receptor, strong negative regulator of T-cell proliferation and IL2 production. Potent inhibitor of the alternative complement pathway convertases. {ECO:0000269|PubMed:17016562, ECO:0000269|PubMed:17051150}.; </t>
  </si>
  <si>
    <t xml:space="preserve">733.06</t>
  </si>
  <si>
    <t xml:space="preserve">0,18</t>
  </si>
  <si>
    <t xml:space="preserve">878.06</t>
  </si>
  <si>
    <t xml:space="preserve">0,22</t>
  </si>
  <si>
    <t xml:space="preserve">0.999947206587498</t>
  </si>
  <si>
    <t xml:space="preserve">O-linked N-acetylglucosamine (GlcNAc) transferase;brain cytoplasmic RNA 1</t>
  </si>
  <si>
    <t xml:space="preserve">FUNCTION: Catalyzes the transfer of a single N-acetylglucosamine from UDP-GlcNAc to a serine or threonine residue in cytoplasmic and nuclear proteins resulting in their modification with a beta- linked N-acetylglucosamine (O-GlcNAc). Glycosylates a large and diverse number of proteins including histone H2B, AKT1, EZH2, PFKL, KMT2E/MLL5, MAPT/TAU and HCFC1. Can regulate their cellular processes via cross-talk between glycosylation and phosphorylation or by affecting proteolytic processing. Involved in insulin resistance in muscle and adipocyte cells via glycosylating insulin signaling components and inhibiting the 'Thr-308' phosphorylation of AKT1, enhancing IRS1 phosphorylation and attenuating insulin signaling. Involved in glycolysis regulation by mediating glycosylation of 6-phosphofructokinase PFKL, inhibiting its activity (PubMed:22923583). Component of a THAP1/THAP3-HCFC1-OGT complex that is required for the regulation of the transcriptional activity of RRM1. Plays a key role in chromatin structure by mediating O-GlcNAcylation of 'Ser-112' of histone H2B: recruited to CpG-rich transcription start sites of active genes via its interaction with TET proteins (TET1, TET2 or TET3) (PubMed:22121020, PubMed:23353889). As part of the NSL complex indirectly involved in acetylation of nucleosomal histone H4 on several lysine residues (PubMed:20018852). O-GlcNAcylation of 'Ser-75' of EZH2 increases its stability, and facilitating the formation of H3K27me3 by the PRC2/EED-EZH2 complex (PubMed:24474760). Regulates circadian oscillation of the clock genes and glucose homeostasis in the liver. Stabilizes clock proteins ARNTL/BMAL1 and CLOCK through O-glycosylation, which prevents their ubiquitination and subsequent degradation. Promotes the CLOCK-ARNTL/BMAL1-mediated transcription of genes in the negative loop of the circadian clock such as PER1/2 and CRY1/2 (PubMed:12150998, PubMed:18288188, PubMed:19377461, PubMed:19451179, PubMed:20018868, PubMed:20200153, PubMed:21285374, PubMed:15361863). {ECO:0000269|PubMed:12150998, ECO:0000269|PubMed:15361863, ECO:0000269|PubMed:18288188, ECO:0000269|PubMed:19377461, ECO:0000269|PubMed:19451179, ECO:0000269|PubMed:20018852, ECO:0000269|PubMed:20018868, ECO:0000269|PubMed:20200153, ECO:0000269|PubMed:21285374, ECO:0000269|PubMed:22121020, ECO:0000269|PubMed:22923583, ECO:0000269|PubMed:23353889, ECO:0000269|PubMed:24474760}.; </t>
  </si>
  <si>
    <t xml:space="preserve">DISEASE: Note=Regulation of OGT activity and altered O- GlcNAcylations are implicated in diabetes and Alzheimer disease. O-GlcNAcylation of AKT1 affects insulin signaling and, possibly diabetes. Reduced O-GlcNAcylations and resulting increased phosphorylations of MAPT/TAU are observed in Alzheimer disease (AD) brain cerebrum.; </t>
  </si>
  <si>
    <t xml:space="preserve">3472.06</t>
  </si>
  <si>
    <t xml:space="preserve">1,115</t>
  </si>
  <si>
    <t xml:space="preserve">NM_001305842:exon3:UTR5;NM_001305841:exon2:UTR5;NM_001006937:exon3:UTR5;TCEAL4:NM_001300901:exon5:c.A406G:p.R136G;uc004ekn.3:exon3:UTR5;ENST00000415568:exon2:UTR5;ENST00000494801:exon3:UTR5;ENST00000425011:exon3:UTR5;ENST00000469586:exon2:UTR5;ENSG00000133142:ENST00000372629:exon5:c.A406G:p.R136G</t>
  </si>
  <si>
    <t xml:space="preserve">2/9</t>
  </si>
  <si>
    <t xml:space="preserve">0/6</t>
  </si>
  <si>
    <t xml:space="preserve">0.683649622368237</t>
  </si>
  <si>
    <t xml:space="preserve">transcription elongation factor A like 4</t>
  </si>
  <si>
    <t xml:space="preserve">26,7</t>
  </si>
  <si>
    <t xml:space="preserve">NM_000033:c.*1001C&gt;T;uc004fif.2:c.*1001C&gt;T</t>
  </si>
  <si>
    <t xml:space="preserve">0.982118837885542</t>
  </si>
  <si>
    <t xml:space="preserve">ATP binding cassette subfamily D member 1</t>
  </si>
  <si>
    <t xml:space="preserve">FUNCTION: Probable transporter. The nucleotide-binding fold acts as an ATP-binding subunit with ATPase activity. {ECO:0000269|PubMed:11248239}.; </t>
  </si>
  <si>
    <t xml:space="preserve">DISEASE: Adrenoleukodystrophy (ALD) [MIM:300100]: A peroxisomal metabolic disorder characterized by progressive multifocal demyelination of the central nervous system and by peripheral adrenal insufficiency (Addison disease). It results in mental deterioration, corticospinal tract dysfunction, and cortical blindness. Different clinical manifestations exist like: cerebral childhood ALD (CALD), adult cerebral ALD (ACALD), adrenomyeloneuropathy (AMN) and 'Addison disease only' (ADO) phenotype. {ECO:0000269|PubMed:10369742, ECO:0000269|PubMed:10480364, ECO:0000269|PubMed:10737980, ECO:0000269|PubMed:10980539, ECO:0000269|PubMed:11438993, ECO:0000269|PubMed:11810273, ECO:0000269|PubMed:15643618, ECO:0000269|PubMed:21700483, ECO:0000269|PubMed:21889498, ECO:0000269|PubMed:7581394, ECO:0000269|PubMed:7717396, ECO:0000269|PubMed:7825602, ECO:0000269|PubMed:7849723, ECO:0000269|PubMed:7904210, ECO:0000269|PubMed:8040304, ECO:0000269|PubMed:8566952, ECO:0000269|PubMed:8651290, ECO:0000269|PubMed:9452087}. Note=The disease is caused by mutations affecting the gene represented in this entry.; DISEASE: Note=The promoter region of ABCD1 is deleted in the chromosome Xq28 deletion syndrome which involves ABCD1 and the neighboring gene BCAP31. {ECO:0000269|PubMed:11992258}.; </t>
  </si>
  <si>
    <t xml:space="preserve">ADAMTS17</t>
  </si>
  <si>
    <t xml:space="preserve">TISSUE SPECIFICITY: Isoform 1 and isoform 2 are expressed at high levels in the lung, brain, whole eye and retina. Isoform 1 shows a weaker expression in the heart, kidney and skeletal muscle. Isoform 2 shows a weaker expression in the kidney, bone marrow and skeletal muscle. Isoform 1 and isoform 2 are expressed at high levels in the fetal heart, kidney, and whole eye, whereas a weak expression is seen in the fetal liver. {ECO:0000269|PubMed:19836009}.; </t>
  </si>
  <si>
    <t xml:space="preserve">unclassifiable (Anatomical System);lung;testis;germinal center;thymus;</t>
  </si>
  <si>
    <t xml:space="preserve">dorsal root ganglion;superior cervical ganglion;subthalamic nucleus;globus pallidus;ciliary ganglion;caudate nucleus;atrioventricular node;kidney;trigeminal ganglion;skeletal muscle;</t>
  </si>
  <si>
    <t xml:space="preserve">FAT4</t>
  </si>
  <si>
    <t xml:space="preserve">TISSUE SPECIFICITY: Widely expressed. Expressed in fetal brain, infant brain, brain tumor and colorectal cancer. {ECO:0000269|PubMed:15003449, ECO:0000269|PubMed:16865240}.; </t>
  </si>
  <si>
    <t xml:space="preserve">unclassifiable (Anatomical System);choroid;fovea centralis;lens;skeletal muscle;retina;bile duct;whole body;optic nerve;visual apparatus;macula lutea;brain;stomach;</t>
  </si>
  <si>
    <t xml:space="preserve">dorsal root ganglion;superior cervical ganglion;subthalamic nucleus;fetal brain;testis - seminiferous tubule;globus pallidus;ciliary ganglion;atrioventricular node;pons;trigeminal ganglion;parietal lobe;</t>
  </si>
  <si>
    <t xml:space="preserve">ADGRV1</t>
  </si>
  <si>
    <t xml:space="preserve">TISSUE SPECIFICITY: Expressed at low levels in adult tissues. {ECO:0000269|PubMed:10976914}.; </t>
  </si>
  <si>
    <t xml:space="preserve">USH2A</t>
  </si>
  <si>
    <t xml:space="preserve">TISSUE SPECIFICITY: Present in the basement membrane of many, but not all tissues. Expressed in retina, cochlea, small and large intestine, pancreas, bladder, prostate, esophagus, trachea, thymus, salivary glands, placenta, ovary, fallopian tube, uterus and testis. Absent in many other tissues such as heart, lung, liver, kidney and brain. In the retina, it is present in the basement membranes in the Bruch's layer choroid capillary basement membranes, where it localizes just beneath the retinal pigment epithelial cells (at protein level). Weakly expressed. Isoform 2 is expressed in fetal eye, cochlea and heart, and at very low level in brain, CNS, intestine, skeleton, tongue, kidney and lung. Isoform 2 is not expressed in stomach and liver. In adult tissues, isoform 2 is expressed in neural retina and testis, and at low level in brain, heart, kidney and liver. Isoform 1 displays a similar pattern of expression but is expressed at very low level in fetal cochlea. {ECO:0000269|PubMed:11788194, ECO:0000269|PubMed:12433396, ECO:0000269|PubMed:15015129, ECO:0000269|PubMed:9624053}.; </t>
  </si>
  <si>
    <t xml:space="preserve">unclassifiable (Anatomical System);liver;testis;retina;</t>
  </si>
  <si>
    <t xml:space="preserve">dorsal root ganglion;superior cervical ganglion;adrenal gland;temporal lobe;ciliary ganglion;atrioventricular node;trigeminal ganglion;skin;skeletal muscle;cerebellum;</t>
  </si>
  <si>
    <t xml:space="preserve">DUOX2</t>
  </si>
  <si>
    <t xml:space="preserve">TISSUE SPECIFICITY: Expressed in colon, small intestine, duodenum and tracheal surface epithelial cells (at protein level). Expressed in thyrocytes. Also detected in kidney, liver, lung, pancreas, prostate, salivary glands, rectum and testis. {ECO:0000269|PubMed:10806195, ECO:0000269|PubMed:11514595, ECO:0000269|PubMed:12824283, ECO:0000269|PubMed:15210697, ECO:0000269|PubMed:15591162}.; </t>
  </si>
  <si>
    <t xml:space="preserve">STAT4</t>
  </si>
  <si>
    <t xml:space="preserve">unclassifiable (Anatomical System);lymph node;blood;skeletal muscle;bone marrow;uterus;lung;endometrium;thyroid;pituitary gland;testis;head and neck;mammary gland;</t>
  </si>
  <si>
    <t xml:space="preserve">superior cervical ganglion;</t>
  </si>
  <si>
    <t xml:space="preserve">PTPN22</t>
  </si>
  <si>
    <t xml:space="preserve">TISSUE SPECIFICITY: Expressed in bone marrow, B and T-cells, PBMCs, natural killer cells, monocytes, dendritic cells and neutrophils (PubMed:15208781). Both isoform 1 and 4 are predominantly expressed in lymphoid tissues and cells. Isoform 1 is expressed in thymocytes and both mature B and T-cells. {ECO:0000269|PubMed:15208781}.; </t>
  </si>
  <si>
    <t xml:space="preserve">unclassifiable (Anatomical System);lymph node;lung;adrenal gland;nasopharynx;thyroid;testis;colon;germinal center;skeletal muscle;bone marrow;</t>
  </si>
  <si>
    <t xml:space="preserve">superior cervical ganglion;temporal lobe;globus pallidus;atrioventricular node;pons;trigeminal ganglion;</t>
  </si>
  <si>
    <t xml:space="preserve">GRID2</t>
  </si>
  <si>
    <t xml:space="preserve">unclassifiable (Anatomical System);lung;testis;</t>
  </si>
  <si>
    <t xml:space="preserve">superior cervical ganglion;globus pallidus;skeletal muscle;</t>
  </si>
  <si>
    <t xml:space="preserve">ATXN2</t>
  </si>
  <si>
    <t xml:space="preserve">TISSUE SPECIFICITY: Expressed in the brain, heart, liver, skeletal muscle, pancreas and placenta. Isoform 1 is predominant in the brain and spinal cord. Isoform 4 is more abundant in the cerebellum. In the brain, broadly expressed in the amygdala, caudate nucleus, corpus callosum, hippocampus, hypothalamus, substantia nigra, subthalamic nucleus and thalamus. {ECO:0000269|PubMed:8896555, ECO:0000269|PubMed:8896556, ECO:0000269|PubMed:8896557, ECO:0000269|PubMed:9480749}.; </t>
  </si>
  <si>
    <t xml:space="preserve">ZMYND15</t>
  </si>
  <si>
    <t xml:space="preserve">unclassifiable (Anatomical System);uterus;lung;cartilage;ovary;islets of Langerhans;testis;pharynx;kidney;brain;skin;stomach;</t>
  </si>
  <si>
    <t xml:space="preserve">testis - interstitial;medulla oblongata;testis - seminiferous tubule;testis;</t>
  </si>
  <si>
    <t xml:space="preserve">ZFYVE26</t>
  </si>
  <si>
    <t xml:space="preserve">TISSUE SPECIFICITY: Strongest expression in the adrenal gland, bone marrow, adult brain, fetal brain, lung, placenta, prostate, skeletal muscle, testis, thymus, and retina. Intermediate levels are detected in other structures, including the spinal cord. {ECO:0000269|PubMed:18394578}.; </t>
  </si>
  <si>
    <t xml:space="preserve">lymphoreticular;parathyroid;fovea centralis;choroid;skin;retina;bone marrow;uterus;prostate;optic nerve;frontal lobe;endometrium;larynx;bone;thyroid;testis;germinal center;brain;unclassifiable (Anatomical System);lymph node;cartilage;heart;tongue;islets of Langerhans;hypothalamus;blood;lens;skeletal muscle;breast;pancreas;lung;nasopharynx;placenta;macula lutea;duodenum;liver;spleen;head and neck;cervix;kidney;mammary gland;stomach;</t>
  </si>
  <si>
    <t xml:space="preserve">superior cervical ganglion;globus pallidus;atrioventricular node;pons;trigeminal ganglion;skeletal muscle;</t>
  </si>
  <si>
    <t xml:space="preserve">ATR</t>
  </si>
  <si>
    <t xml:space="preserve">TISSUE SPECIFICITY: Ubiquitous, with highest expression in testis. Isoform 2 is found in pancreas, placenta and liver but not in heart, testis and ovary. {ECO:0000269|PubMed:11470508, ECO:0000269|PubMed:8610130, ECO:0000269|PubMed:8843195}.; </t>
  </si>
  <si>
    <t xml:space="preserve">ovary;colon;parathyroid;skin;uterus;prostate;whole body;frontal lobe;endometrium;bone;testis;germinal center;spinal ganglion;brain;unclassifiable (Anatomical System);lymph node;heart;tongue;islets of Langerhans;blood;skeletal muscle;breast;pancreas;lung;placenta;visual apparatus;liver;alveolus;head and neck;kidney;mammary gland;stomach;peripheral nerve;</t>
  </si>
  <si>
    <t xml:space="preserve">amygdala;superior cervical ganglion;medulla oblongata;testis - interstitial;thyroid;globus pallidus;white blood cells;ciliary ganglion;pons;skeletal muscle;pituitary;</t>
  </si>
  <si>
    <t xml:space="preserve">FOXO1</t>
  </si>
  <si>
    <t xml:space="preserve">TISSUE SPECIFICITY: Ubiquitous. {ECO:0000269|PubMed:9479491}.; </t>
  </si>
  <si>
    <t xml:space="preserve">KIZ</t>
  </si>
  <si>
    <t xml:space="preserve">PDE6B</t>
  </si>
  <si>
    <t xml:space="preserve">unclassifiable (Anatomical System);ovary;salivary gland;pharynx;colon;blood;skeletal muscle;retina;breast;uterus;prostate;lung;visual apparatus;liver;testis;kidney;brain;pineal gland;bladder;</t>
  </si>
  <si>
    <t xml:space="preserve">superior cervical ganglion;subthalamic nucleus;ciliary ganglion;atrioventricular node;trigeminal ganglion;parietal lobe;skeletal muscle;</t>
  </si>
  <si>
    <t xml:space="preserve">AK2</t>
  </si>
  <si>
    <t xml:space="preserve">TISSUE SPECIFICITY: Present in most tissues. Present at high level in heart, liver and kidney, and at low level in brain, skeletal muscle and skin. Present in thrombocytes but not in erythrocytes, which lack mitochondria. Present in all nucleated cell populations from blood, while AK1 is mostly absent. In spleen and lymph nodes, mononuclear cells lack AK1, whereas AK2 is readily detectable. These results indicate that leukocytes may be susceptible to defects caused by the lack of AK2, as they do not express AK1 in sufficient amounts to compensate for the AK2 functional deficits (at protein level). {ECO:0000269|PubMed:19043417}.; </t>
  </si>
  <si>
    <t xml:space="preserve">medulla oblongata;ovary;salivary gland;intestine;colon;parathyroid;choroid;skin;retina;bone marrow;uterus;prostate;whole body;frontal lobe;thyroid;testis;germinal center;brain;bladder;gall bladder;unclassifiable (Anatomical System);lymph node;heart;islets of Langerhans;muscle;pharynx;blood;skeletal muscle;breast;pancreas;lung;placenta;visual apparatus;hippocampus;duodenum;liver;cervix;spleen;head and neck;kidney;mammary gland;stomach;</t>
  </si>
  <si>
    <t xml:space="preserve">dorsal root ganglion;superior cervical ganglion;ciliary ganglion;atrioventricular node;trigeminal ganglion;skeletal muscle;bone marrow;</t>
  </si>
  <si>
    <t xml:space="preserve">FAM20C</t>
  </si>
  <si>
    <t xml:space="preserve">TISSUE SPECIFICITY: Widely expressed. {ECO:0000269|PubMed:15676076}.; </t>
  </si>
  <si>
    <t xml:space="preserve">unclassifiable (Anatomical System);ovary;kidney;brain;</t>
  </si>
  <si>
    <t xml:space="preserve">kidney;</t>
  </si>
  <si>
    <t xml:space="preserve">PLAU</t>
  </si>
  <si>
    <t xml:space="preserve">0.00055026957460409</t>
  </si>
  <si>
    <t xml:space="preserve">plasminogen activator, urokinase</t>
  </si>
  <si>
    <t xml:space="preserve">TISSUE SPECIFICITY: Expressed in the prostate gland and prostate cancers. {ECO:0000269|PubMed:15988036}.; </t>
  </si>
  <si>
    <t xml:space="preserve">PCSK1</t>
  </si>
  <si>
    <t xml:space="preserve">unclassifiable (Anatomical System);ovary;cartilage;islets of Langerhans;hypothalamus;fovea centralis;retina;breast;lung;bone;macula lutea;hippocampus;pituitary gland;testis;brain;stomach;</t>
  </si>
  <si>
    <t xml:space="preserve">amygdala;whole brain;occipital lobe;medulla oblongata;subthalamic nucleus;hypothalamus;beta cell islets;prefrontal cortex;globus pallidus;ciliary ganglion;pons;parietal lobe;pituitary;</t>
  </si>
  <si>
    <t xml:space="preserve">PEPD</t>
  </si>
  <si>
    <t xml:space="preserve">myocardium;medulla oblongata;ovary;sympathetic chain;skin;retina;bone marrow;prostate;optic nerve;frontal lobe;endometrium;thyroid;iris;germinal center;bladder;brain;heart;cartilage;urinary;adrenal cortex;pharynx;blood;lens;breast;visual apparatus;liver;spleen;cervix;mammary gland;salivary gland;intestine;colon;parathyroid;choroid;uterus;whole body;larynx;bone;testis;spinal ganglion;unclassifiable (Anatomical System);lymph node;islets of Langerhans;hypothalamus;muscle;pancreas;lung;adrenal gland;placenta;hippocampus;duodenum;hypopharynx;head and neck;kidney;stomach;cerebellum;</t>
  </si>
  <si>
    <t xml:space="preserve">liver;kidney;</t>
  </si>
  <si>
    <t xml:space="preserve">MCM8</t>
  </si>
  <si>
    <t xml:space="preserve">minichromosome maintenance 8 homologous recombination repair factor</t>
  </si>
  <si>
    <t xml:space="preserve">TISSUE SPECIFICITY: Highest levels in placenta, lung and pancreas. Low levels in skeletal muscle and kidney. Expressed in various tumors with highest levels in colon and lung cancers. {ECO:0000269|PubMed:12771218}.; </t>
  </si>
  <si>
    <t xml:space="preserve">unclassifiable (Anatomical System);lymph node;cartilage;heart;ovary;muscle;colon;lens;skin;skeletal muscle;uterus;prostate;bone;thyroid;placenta;liver;testis;head and neck;germinal center;kidney;brain;mammary gland;stomach;cerebellum;</t>
  </si>
  <si>
    <t xml:space="preserve">globus pallidus;</t>
  </si>
  <si>
    <t xml:space="preserve">TSEN34</t>
  </si>
  <si>
    <t xml:space="preserve">ovary;colon;parathyroid;fovea centralis;skin;retina;bone marrow;uterus;prostate;whole body;endometrium;testis;amniotic fluid;brain;tonsil;unclassifiable (Anatomical System);lymph node;heart;hypothalamus;blood;pancreas;lung;placenta;macula lutea;visual apparatus;duodenum;alveolus;liver;spleen;kidney;mammary gland;stomach;</t>
  </si>
  <si>
    <t xml:space="preserve">superior cervical ganglion;testis;trigeminal ganglion;whole blood;</t>
  </si>
  <si>
    <t xml:space="preserve">VRK1</t>
  </si>
  <si>
    <t xml:space="preserve">TISSUE SPECIFICITY: Widely expressed. Highly expressed in fetal liver, testis and thymus. {ECO:0000269|PubMed:9344656}.; </t>
  </si>
  <si>
    <t xml:space="preserve">ovary;salivary gland;intestine;colon;skin;retina;bone marrow;uterus;prostate;whole body;frontal lobe;endometrium;bone;testis;germinal center;brain;bladder;unclassifiable (Anatomical System);lymph node;heart;pharynx;blood;skeletal muscle;breast;pancreas;lung;cornea;epididymis;nasopharynx;visual apparatus;liver;cervix;spleen;head and neck;kidney;mammary gland;stomach;</t>
  </si>
  <si>
    <t xml:space="preserve">fetal liver;subthalamic nucleus;testis - seminiferous tubule;prefrontal cortex;tumor;white blood cells;cingulate cortex;</t>
  </si>
  <si>
    <t xml:space="preserve">PKD1</t>
  </si>
  <si>
    <t xml:space="preserve">medulla oblongata;smooth muscle;ovary;skin;retina;bone marrow;prostate;optic nerve;frontal lobe;cochlea;endometrium;thyroid;germinal center;brain;heart;cartilage;tongue;urinary;blood;lens;skeletal muscle;breast;epididymis;macula lutea;visual apparatus;liver;cervix;spleen;mammary gland;colon;parathyroid;fovea centralis;choroid;uterus;whole body;larynx;bone;pituitary gland;testis;spinal ganglion;pineal gland;unclassifiable (Anatomical System);lymph node;islets of Langerhans;hypothalamus;pancreas;lung;placenta;hypopharynx;amnion;head and neck;kidney;stomach;thymus;cerebellum;</t>
  </si>
  <si>
    <t xml:space="preserve">amygdala;medulla oblongata;subthalamic nucleus;superior cervical ganglion;cerebellum peduncles;prefrontal cortex;globus pallidus;atrioventricular node;pons;trigeminal ganglion;cingulate cortex;parietal lobe;cerebellum;</t>
  </si>
  <si>
    <t xml:space="preserve">PHGDH</t>
  </si>
  <si>
    <t xml:space="preserve">PINK1</t>
  </si>
  <si>
    <t xml:space="preserve">PTEN induced putative kinase 1</t>
  </si>
  <si>
    <t xml:space="preserve">TISSUE SPECIFICITY: Highly expressed in heart, skeletal muscle and testis, and at lower levels in brain, placenta, liver, kidney, pancreas, prostate, ovary and small intestine. Present in the embryonic testis from an early stage of development. {ECO:0000269|PubMed:11494141}.; </t>
  </si>
  <si>
    <t xml:space="preserve">FBXO7</t>
  </si>
  <si>
    <t xml:space="preserve">lymphoreticular;ovary;skin;retina;bone marrow;prostate;optic nerve;frontal lobe;submandibular gland;thyroid;germinal center;bladder;brain;gall bladder;tonsil;heart;cartilage;adrenal cortex;pharynx;blood;lens;skeletal muscle;breast;visual apparatus;liver;alveolus;spleen;cervix;mammary gland;salivary gland;intestine;colon;choroid;vein;uterus;whole body;bone;testis;dura mater;unclassifiable (Anatomical System);meninges;lymph node;lacrimal gland;hypothalamus;muscle;lung;pia mater;placenta;duodenum;hypopharynx;head and neck;kidney;stomach;thymus;</t>
  </si>
  <si>
    <t xml:space="preserve">superior cervical ganglion;fetal liver;testis - interstitial;testis - seminiferous tubule;testis;parietal lobe;bone marrow;</t>
  </si>
  <si>
    <t xml:space="preserve">PRSS1</t>
  </si>
  <si>
    <t xml:space="preserve">pancreas;islets of Langerhans;liver;colon;spleen;</t>
  </si>
  <si>
    <t xml:space="preserve">superior cervical ganglion;pancreas;beta cell islets;ciliary ganglion;bone marrow;</t>
  </si>
  <si>
    <t xml:space="preserve">CLCN7</t>
  </si>
  <si>
    <t xml:space="preserve">TISSUE SPECIFICITY: Brain, testis, muscle and kidney.; </t>
  </si>
  <si>
    <t xml:space="preserve">myocardium;ovary;colon;parathyroid;fovea centralis;choroid;skin;retina;bone marrow;prostate;optic nerve;whole body;oesophagus;endometrium;larynx;bone;thyroid;pituitary gland;testis;germinal center;brain;unclassifiable (Anatomical System);lymph node;islets of Langerhans;hypothalamus;blood;lens;pancreas;lung;placenta;macula lutea;visual apparatus;hippocampus;duodenum;liver;spleen;head and neck;cervix;kidney;mammary gland;</t>
  </si>
  <si>
    <t xml:space="preserve">amygdala;adrenal gland;prefrontal cortex;adrenal cortex;globus pallidus;trigeminal ganglion;cingulate cortex;</t>
  </si>
  <si>
    <t xml:space="preserve">ENPP1</t>
  </si>
  <si>
    <t xml:space="preserve">TISSUE SPECIFICITY: Expressed in plasma cells and also in a number of non-lymphoid tissues, including the distal convoluted tubule of the kidney, chondrocytes and epididymis. {ECO:0000269|PubMed:9344668}.; </t>
  </si>
  <si>
    <t xml:space="preserve">unclassifiable (Anatomical System);cartilage;heart;ovary;islets of Langerhans;colon;parathyroid;blood;skin;skeletal muscle;breast;uterus;whole body;lung;bone;placenta;liver;testis;spleen;kidney;brain;</t>
  </si>
  <si>
    <t xml:space="preserve">dorsal root ganglion;thyroid;ciliary ganglion;atrioventricular node;pons;skeletal muscle;</t>
  </si>
  <si>
    <t xml:space="preserve">WHSC1</t>
  </si>
  <si>
    <t xml:space="preserve">TISSUE SPECIFICITY: Widely expressed. {ECO:0000269|PubMed:9618163}.; </t>
  </si>
  <si>
    <t xml:space="preserve">medulla oblongata;ovary;skin;bone marrow;retina;prostate;optic nerve;frontal lobe;endometrium;thyroid;germinal center;brain;bladder;heart;cartilage;pharynx;blood;lens;skeletal muscle;breast;macula lutea;visual apparatus;liver;cervix;spleen;salivary gland;intestine;colon;parathyroid;fovea centralis;choroid;vein;uterus;whole body;oesophagus;bone;testis;spinal ganglion;unclassifiable (Anatomical System);lymph node;islets of Langerhans;muscle;pancreas;lung;placenta;duodenum;hypopharynx;head and neck;kidney;stomach;thymus;cerebellum;</t>
  </si>
  <si>
    <t xml:space="preserve">superior cervical ganglion;fetal liver;testis - interstitial;testis;parietal lobe;skeletal muscle;thymus;</t>
  </si>
  <si>
    <t xml:space="preserve">CHRNA1</t>
  </si>
  <si>
    <t xml:space="preserve">TISSUE SPECIFICITY: Isoform 1 is only expressed in skeletal muscle. Isoform 2 is constitutively expressed in skeletal muscle, brain, heart, kidney, liver, lung and thymus.; </t>
  </si>
  <si>
    <t xml:space="preserve">unclassifiable (Anatomical System);ovary;heart;tongue;larynx;bone;placenta;visual apparatus;muscle;liver;parathyroid;head and neck;skin;</t>
  </si>
  <si>
    <t xml:space="preserve">dorsal root ganglion;uterus corpus;superior cervical ganglion;appendix;testis;ciliary ganglion;atrioventricular node;trigeminal ganglion;skeletal muscle;skin;</t>
  </si>
  <si>
    <t xml:space="preserve">OGT</t>
  </si>
  <si>
    <t xml:space="preserve">O-linked N-acetylglucosamine (GlcNAc) transferase</t>
  </si>
  <si>
    <t xml:space="preserve">TISSUE SPECIFICITY: Highly expressed in pancreas and to a lesser extent in skeletal muscle, heart, brain and placenta. Present in trace amounts in lung and liver. {ECO:0000269|PubMed:9083068}.; </t>
  </si>
  <si>
    <t xml:space="preserve">PNPLA2</t>
  </si>
  <si>
    <t xml:space="preserve">TISSUE SPECIFICITY: Highest expression in adipose tissue. Also detected in heart, skeletal muscle, and portions of the gastrointestinal tract. Detected in normal retina and retinoblastoma cells. Detected in retinal pigment epithelium and, at lower intensity, in the inner segments of photoreceptors and in the ganglion cell layer of the neural retina (at protein level). {ECO:0000269|PubMed:15550674, ECO:0000269|PubMed:16150821, ECO:0000269|PubMed:16249444, ECO:0000269|PubMed:17032652}.; </t>
  </si>
  <si>
    <t xml:space="preserve">ovary;colon;parathyroid;fovea centralis;choroid;skin;retina;bone marrow;uterus;prostate;optic nerve;whole body;endometrium;bone;thyroid;pituitary gland;testis;germinal center;brain;unclassifiable (Anatomical System);lymph node;cartilage;heart;lacrimal gland;islets of Langerhans;hypothalamus;blood;lens;skeletal muscle;pancreas;lung;epididymis;placenta;macula lutea;visual apparatus;hippocampus;duodenum;spleen;kidney;mammary gland;stomach;thymus;</t>
  </si>
  <si>
    <t xml:space="preserve">adipose tissue;testis;ciliary ganglion;</t>
  </si>
  <si>
    <t xml:space="preserve">SNCA</t>
  </si>
  <si>
    <t xml:space="preserve">TISSUE SPECIFICITY: Expressed principally in brain but is also expressed in low concentrations in all tissues examined except in liver. Concentrated in presynaptic nerve terminals.; </t>
  </si>
  <si>
    <t xml:space="preserve">myocardium;ovary;salivary gland;colon;skin;uterus;prostate;whole body;frontal lobe;endometrium;bone;iris;testis;brain;bladder;amygdala;unclassifiable (Anatomical System);heart;islets of Langerhans;hypothalamus;pharynx;blood;breast;lung;adrenal gland;placenta;visual apparatus;liver;duodenum;spleen;kidney;mammary gland;</t>
  </si>
  <si>
    <t xml:space="preserve">amygdala;whole brain;dorsal root ganglion;superior cervical ganglion;medulla oblongata;occipital lobe;olfactory bulb;temporal lobe;atrioventricular node;pons;skin;bone marrow;subthalamic nucleus;fetal liver;prefrontal cortex;globus pallidus;appendix;ciliary ganglion;trigeminal ganglion;parietal lobe;cingulate cortex;</t>
  </si>
  <si>
    <t xml:space="preserve">FAM65B</t>
  </si>
  <si>
    <t xml:space="preserve">TISSUE SPECIFICITY: Expressed in muscle. Isoform 1 is present in the brain. Isoform 2 is expressed during differentiation of fetal primary myoblasts. Also shows marked expression during cytotrophoblast differentiation. {ECO:0000269|PubMed:17150207, ECO:0000269|PubMed:24687993, ECO:0000269|PubMed:9055809}.; </t>
  </si>
  <si>
    <t xml:space="preserve">lymphoreticular;ovary;colon;parathyroid;skin;bone marrow;uterus;whole body;thyroid;testis;germinal center;brain;unclassifiable (Anatomical System);amygdala;lymph node;heart;cartilage;blood;skeletal muscle;pancreas;lung;nasopharynx;placenta;visual apparatus;liver;spleen;aorta;</t>
  </si>
  <si>
    <t xml:space="preserve">amygdala;dorsal root ganglion;superior cervical ganglion;ciliary ganglion;white blood cells;trigeminal ganglion;whole blood;</t>
  </si>
  <si>
    <t xml:space="preserve">TSHR</t>
  </si>
  <si>
    <t xml:space="preserve">TISSUE SPECIFICITY: Expressed in the thyroid. {ECO:0000269|PubMed:2610690}.; </t>
  </si>
  <si>
    <t xml:space="preserve">unclassifiable (Anatomical System);lung;ovary;thyroid;blood;head and neck;brain;skeletal muscle;bone marrow;</t>
  </si>
  <si>
    <t xml:space="preserve">superior cervical ganglion;thyroid;globus pallidus;ciliary ganglion;pons;atrioventricular node;fetal thyroid;trigeminal ganglion;skeletal muscle;thymus;</t>
  </si>
  <si>
    <t xml:space="preserve">EP300</t>
  </si>
  <si>
    <t xml:space="preserve">ovary;salivary gland;intestine;colon;parathyroid;skin;retina;bone marrow;uterus;prostate;atrium;whole body;frontal lobe;cerebral cortex;endometrium;larynx;thyroid;testis;amniotic fluid;germinal center;spinal ganglion;brain;bladder;unclassifiable (Anatomical System);lymph node;cartilage;heart;adrenal cortex;pharynx;blood;breast;lung;epididymis;nasopharynx;placenta;visual apparatus;duodenum;liver;spleen;head and neck;kidney;mammary gland;stomach;thymus;</t>
  </si>
  <si>
    <t xml:space="preserve">testis - interstitial;superior cervical ganglion;ciliary ganglion;pons;trigeminal ganglion;skeletal muscle;parietal lobe;</t>
  </si>
  <si>
    <t xml:space="preserve">BUB1B</t>
  </si>
  <si>
    <t xml:space="preserve">TISSUE SPECIFICITY: Highly expressed in thymus followed by spleen. Preferentially expressed in tissues with a high mitotic index. {ECO:0000269|PubMed:10593653}.; </t>
  </si>
  <si>
    <t xml:space="preserve">unclassifiable (Anatomical System);ovary;heart;adrenal cortex;colon;parathyroid;blood;skin;skeletal muscle;bone marrow;breast;uterus;bile duct;whole body;lung;bone;placenta;liver;testis;cervix;spleen;germinal center;brain;mammary gland;stomach;</t>
  </si>
  <si>
    <t xml:space="preserve">superior cervical ganglion;tumor;testis;</t>
  </si>
  <si>
    <t xml:space="preserve">ATXN10</t>
  </si>
  <si>
    <t xml:space="preserve">TISSUE SPECIFICITY: Expressed in the central nervous system. {ECO:0000269|PubMed:15201271}.; </t>
  </si>
  <si>
    <t xml:space="preserve">lymphoreticular;ovary;umbilical cord;sympathetic chain;skin;retina;bone marrow;prostate;optic nerve;cochlea;endometrium;thyroid;amniotic fluid;germinal center;bladder;brain;tonsil;heart;cartilage;urinary;pharynx;blood;lens;breast;macula lutea;visual apparatus;liver;spleen;cervix;mammary gland;salivary gland;intestine;colon;parathyroid;fovea centralis;choroid;vein;uterus;whole body;larynx;bone;pituitary gland;testis;spinal ganglion;unclassifiable (Anatomical System);lymph node;hypothalamus;muscle;temporal lobe;bile duct;pancreas;lung;adrenal gland;nasopharynx;placenta;hippocampus;hypopharynx;head and neck;kidney;stomach;</t>
  </si>
  <si>
    <t xml:space="preserve">whole brain;dorsal root ganglion;amygdala;medulla oblongata;thalamus;occipital lobe;superior cervical ganglion;hypothalamus;pons;atrioventricular node;caudate nucleus;skeletal muscle;subthalamic nucleus;fetal brain;testis - seminiferous tubule;globus pallidus;testis;ciliary ganglion;trigeminal ganglion;cingulate cortex;parietal lobe;</t>
  </si>
  <si>
    <t xml:space="preserve">MICA</t>
  </si>
  <si>
    <t xml:space="preserve">TISSUE SPECIFICITY: Widely expressed with the exception of the central nervous system where it is absent. Expressed predominantly in gastric epithelium and also in monocytes, keratinocytes, endothelial cells, fibroblasts and in the outer layer of Hassal's corpuscles within the medulla of normal thymus. In skin, expressed mainly in the keratin layers, basal cells, ducts and follicles. Also expressed in many, but not all, epithelial tumors of lung, breast, kidney, ovary, prostate and colon. In thyomas, overexpressed in cortical and medullar epithelial cells. Tumors expressing MICA display increased levels of gamma delta T-cells. {ECO:0000269|PubMed:10359807, ECO:0000269|PubMed:10363723, ECO:0000269|PubMed:10691930, ECO:0000269|PubMed:12902493, ECO:0000269|PubMed:17565371, ECO:0000269|PubMed:8901601, ECO:0000269|PubMed:9396860}.; </t>
  </si>
  <si>
    <t xml:space="preserve">MYCN</t>
  </si>
  <si>
    <t xml:space="preserve">TISSUE SPECIFICITY: Expressed in the neuronal cells of the cerebrum, neuroblastomas and thyroid tumors (at protein level). {ECO:0000269|PubMed:24391509}.; </t>
  </si>
  <si>
    <t xml:space="preserve">unclassifiable (Anatomical System);ovary;heart;salivary gland;muscle;intestine;pharynx;colon;blood;skin;breast;uterus;prostate;lung;endometrium;bone;placenta;visual apparatus;liver;testis;kidney;brain;bladder;thymus;</t>
  </si>
  <si>
    <t xml:space="preserve">dorsal root ganglion;superior cervical ganglion;subthalamic nucleus;heart;fetal brain;placenta;atrioventricular node;trigeminal ganglion;parietal lobe;skeletal muscle;</t>
  </si>
  <si>
    <t xml:space="preserve">CRYAA</t>
  </si>
  <si>
    <t xml:space="preserve">TISSUE SPECIFICITY: Expressed in eye lens. {ECO:0000269|PubMed:12356833}.; </t>
  </si>
  <si>
    <t xml:space="preserve">unclassifiable (Anatomical System);colon;fovea centralis;choroid;lens;retina;optic nerve;whole body;visual apparatus;macula lutea;liver;iris;kidney;stomach;thymus;</t>
  </si>
  <si>
    <t xml:space="preserve">superior cervical ganglion;kidney;atrioventricular node;</t>
  </si>
  <si>
    <t xml:space="preserve">TERT</t>
  </si>
  <si>
    <t xml:space="preserve">TISSUE SPECIFICITY: Expressed at a high level in thymocyte subpopulations, at an intermediate level in tonsil T-lymphocytes, and at a low to undetectable level in peripheral blood T- lymphocytes. {ECO:0000269|PubMed:8676067, ECO:0000269|PubMed:9389643}.; </t>
  </si>
  <si>
    <t xml:space="preserve">unclassifiable (Anatomical System);uterus;lymph node;lung;germinal center;</t>
  </si>
  <si>
    <t xml:space="preserve">ZMYM2</t>
  </si>
  <si>
    <t xml:space="preserve">USP6</t>
  </si>
  <si>
    <t xml:space="preserve">TISSUE SPECIFICITY: Testis specific. Expressed in various cancer cell lines. {ECO:0000269|PubMed:12604796, ECO:0000269|PubMed:1565468}.; </t>
  </si>
  <si>
    <t xml:space="preserve">myocardium;ovary;salivary gland;sympathetic chain;colon;fovea centralis;choroid;skin;retina;uterus;optic nerve;atrium;whole body;frontal lobe;endometrium;larynx;bone;testis;germinal center;brain;unclassifiable (Anatomical System);heart;islets of Langerhans;lens;skeletal muscle;breast;pancreas;lung;adrenal gland;placenta;macula lutea;head and neck;mammary gland;stomach;</t>
  </si>
  <si>
    <t xml:space="preserve">amygdala;testis - interstitial;subthalamic nucleus;fetal brain;testis - seminiferous tubule;prefrontal cortex;testis;atrioventricular node;parietal lobe;</t>
  </si>
  <si>
    <t xml:space="preserve">NUP98</t>
  </si>
  <si>
    <t xml:space="preserve">ovary;sympathetic chain;skin;bone marrow;retina;prostate;optic nerve;frontal lobe;endometrium;thyroid;germinal center;bladder;brain;heart;cartilage;tongue;urinary;adrenal cortex;pharynx;blood;cerebrum;lens;skeletal muscle;breast;macula lutea;visual apparatus;liver;spleen;cervix;mammary gland;salivary gland;developmental;intestine;colon;parathyroid;fovea centralis;choroid;uterus;whole body;bone;testis;unclassifiable (Anatomical System);islets of Langerhans;muscle;bile duct;pancreas;lung;placenta;duodenum;head and neck;kidney;stomach;aorta;thymus;</t>
  </si>
  <si>
    <t xml:space="preserve">dorsal root ganglion;superior cervical ganglion;testis - interstitial;testis - seminiferous tubule;testis;ciliary ganglion;atrioventricular node;trigeminal ganglion;</t>
  </si>
  <si>
    <t xml:space="preserve">NUP214</t>
  </si>
  <si>
    <t xml:space="preserve">TISSUE SPECIFICITY: Expressed in thymus, spleen, bone marrow, kidney, brain and testis, but hardly in all other tissues or in whole embryos during development.; </t>
  </si>
  <si>
    <t xml:space="preserve">ovary;colon;skin;retina;bone marrow;uterus;prostate;frontal lobe;endometrium;bone;thyroid;iris;pituitary gland;testis;germinal center;brain;bladder;unclassifiable (Anatomical System);lymph node;cartilage;heart;islets of Langerhans;spinal cord;muscle;blood;skeletal muscle;breast;pancreas;lung;nasopharynx;placenta;visual apparatus;hypopharynx;liver;spleen;head and neck;cervix;kidney;mammary gland;stomach;thymus;</t>
  </si>
  <si>
    <t xml:space="preserve">testis - interstitial;superior cervical ganglion;testis - seminiferous tubule;testis;globus pallidus;trigeminal ganglion;</t>
  </si>
  <si>
    <t xml:space="preserve">DAB2IP</t>
  </si>
  <si>
    <t xml:space="preserve">TISSUE SPECIFICITY: Expressed in endothelial and vascular smooth muscle cells (VSMCs). Expressed in prostate epithelial but poorly in prostate cancer cells. Poorly expressed in medulloblastoma cells compared to cerebellar precursor proliferating progenitor cells (at protein level). Low expression in prostate. Down- regulated in prostate cancer. {ECO:0000269|PubMed:11944990, ECO:0000269|PubMed:17389591, ECO:0000269|PubMed:21700930, ECO:0000269|PubMed:22696229}.; </t>
  </si>
  <si>
    <t xml:space="preserve">ovary;salivary gland;sympathetic chain;intestine;colon;parathyroid;fovea centralis;choroid;vein;skin;retina;uterus;optic nerve;endometrium;bone;thyroid;testis;pineal gland;brain;unclassifiable (Anatomical System);cartilage;heart;islets of Langerhans;pharynx;blood;lens;skeletal muscle;breast;pancreas;lung;cornea;epididymis;placenta;macula lutea;visual apparatus;hippocampus;liver;spleen;cervix;kidney;mammary gland;stomach;</t>
  </si>
  <si>
    <t xml:space="preserve">dorsal root ganglion;subthalamic nucleus;superior cervical ganglion;cerebellum peduncles;globus pallidus;ciliary ganglion;atrioventricular node;trigeminal ganglion;skeletal muscle;cerebellum;</t>
  </si>
  <si>
    <t xml:space="preserve">ATP13A4</t>
  </si>
  <si>
    <t xml:space="preserve">ATPase 13A4</t>
  </si>
  <si>
    <t xml:space="preserve">TISSUE SPECIFICITY: Expressed in heart, placenta, liver, skeletal muscles, and pancreas. Lower levels of expression are also detected in brain, lung and kidney. Weakly expressed in the adult brain. Expression in fetal brain is higher than in adult brain, with levels similar to several other fetal tissues including spleen and skeletal muscle. In adult brain expressed at low levels in all tissues examined, including the temporal lobe and putamen. {ECO:0000269|PubMed:15925480}.; </t>
  </si>
  <si>
    <t xml:space="preserve">unclassifiable (Anatomical System);frontal lobe;larynx;thyroid;oral cavity;pituitary gland;head and neck;brain;skeletal muscle;stomach;tonsil;</t>
  </si>
  <si>
    <t xml:space="preserve">dorsal root ganglion;superior cervical ganglion;ciliary ganglion;pons;atrioventricular node;trigeminal ganglion;</t>
  </si>
  <si>
    <t xml:space="preserve">GCSH</t>
  </si>
  <si>
    <t xml:space="preserve">ovary;salivary gland;intestine;colon;fovea centralis;choroid;vein;skin;retina;uterus;prostate;optic nerve;whole body;cochlea;larynx;testis;brain;bladder;unclassifiable (Anatomical System);lymph node;heart;cerebellum cortex;islets of Langerhans;hypothalamus;pharynx;blood;lens;breast;lung;cornea;adrenal gland;placenta;macula lutea;visual apparatus;hippocampus;alveolus;liver;spleen;head and neck;cervix;kidney;mammary gland;stomach;</t>
  </si>
  <si>
    <t xml:space="preserve">FOLR1</t>
  </si>
  <si>
    <t xml:space="preserve">TISSUE SPECIFICITY: Primarily expressed in tissues of epithelial origin. Expression is increased in malignant tissues. Expressed in kidney, lung and cerebellum. Detected in placenta and thymus epithelium. {ECO:0000269|PubMed:2527252, ECO:0000269|PubMed:2768245, ECO:0000269|PubMed:9063895}.; </t>
  </si>
  <si>
    <t xml:space="preserve">unclassifiable (Anatomical System);cartilage;ovary;colon;parathyroid;choroid;uterus;prostate;lung;endometrium;nasopharynx;placenta;liver;cervix;kidney;brain;mammary gland;stomach;</t>
  </si>
  <si>
    <t xml:space="preserve">superior cervical ganglion;trachea;kidney;trigeminal ganglion;</t>
  </si>
  <si>
    <t xml:space="preserve">MTHFD1</t>
  </si>
  <si>
    <t xml:space="preserve">TISSUE SPECIFICITY: Ubiquitous.; </t>
  </si>
  <si>
    <t xml:space="preserve">ovary;salivary gland;sympathetic chain;intestine;colon;parathyroid;skin;retina;bone marrow;uterus;prostate;frontal lobe;endometrium;bone;thyroid;iris;testis;amniotic fluid;germinal center;brain;bladder;unclassifiable (Anatomical System);lymph node;heart;islets of Langerhans;hypothalamus;spinal cord;muscle;pharynx;blood;lens;skeletal muscle;breast;bile duct;lung;nasopharynx;placenta;visual apparatus;liver;spleen;cervix;kidney;mammary gland;stomach;</t>
  </si>
  <si>
    <t xml:space="preserve">superior cervical ganglion;liver;kidney;skeletal muscle;</t>
  </si>
  <si>
    <t xml:space="preserve">CEP83</t>
  </si>
  <si>
    <t xml:space="preserve">SNAP25</t>
  </si>
  <si>
    <t xml:space="preserve">TISSUE SPECIFICITY: Neurons of the neocortex, hippocampus, piriform cortex, anterior thalamic nuclei, pontine nuclei, and granule cells of the cerebellum.; </t>
  </si>
  <si>
    <t xml:space="preserve">sympathetic chain;fovea centralis;choroid;retina;optic nerve;whole body;frontal lobe;cerebral cortex;larynx;pituitary gland;testis;spinal ganglion;pineal gland;brain;unclassifiable (Anatomical System);amygdala;cerebellum cortex;islets of Langerhans;hypothalamus;lens;skeletal muscle;breast;lung;adrenal gland;macula lutea;hippocampus;visual apparatus;liver;spleen;head and neck;kidney;cerebellum;</t>
  </si>
  <si>
    <t xml:space="preserve">whole brain;amygdala;superior cervical ganglion;thalamus;medulla oblongata;occipital lobe;cerebellum peduncles;hypothalamus;temporal lobe;spinal cord;caudate nucleus;pons;subthalamic nucleus;fetal brain;prefrontal cortex;globus pallidus;ciliary ganglion;cingulate cortex;pituitary;parietal lobe;cerebellum;</t>
  </si>
  <si>
    <t xml:space="preserve">RNF213</t>
  </si>
  <si>
    <t xml:space="preserve">TISSUE SPECIFICITY: Widely expressed (at protein level). {ECO:0000269|PubMed:21799892}.; </t>
  </si>
  <si>
    <t xml:space="preserve">smooth muscle;ovary;colon;parathyroid;choroid;fovea centralis;vein;skin;bone marrow;retina;uterus;prostate;whole body;optic nerve;frontal lobe;endometrium;larynx;bone;thyroid;testis;amniotic fluid;germinal center;brain;unclassifiable (Anatomical System);lymph node;cartilage;small intestine;heart;blood;lens;skeletal muscle;bile duct;breast;pancreas;lung;nasopharynx;placenta;visual apparatus;macula lutea;liver;cervix;spleen;head and neck;kidney;mammary gland;aorta;stomach;thymus;</t>
  </si>
  <si>
    <t xml:space="preserve">uterus;dorsal root ganglion;superior cervical ganglion;ciliary ganglion;atrioventricular node;</t>
  </si>
  <si>
    <t xml:space="preserve">DCC</t>
  </si>
  <si>
    <t xml:space="preserve">TISSUE SPECIFICITY: Found in axons of the central and peripheral nervous system and in differentiated cell types of the intestine. Not expressed in colorectal tumor cells that lost their capacity to differentiate into mucus producing cells. {ECO:0000269|PubMed:7926722}.; </t>
  </si>
  <si>
    <t xml:space="preserve">unclassifiable (Anatomical System);lung;testis;skeletal muscle;</t>
  </si>
  <si>
    <t xml:space="preserve">superior cervical ganglion;atrioventricular node;</t>
  </si>
  <si>
    <t xml:space="preserve">ADAMTS18</t>
  </si>
  <si>
    <t xml:space="preserve">TISSUE SPECIFICITY: Expressed in fetal lung, liver, and kidney and in adult brain, prostate, submaxillary gland, and endothelium.; </t>
  </si>
  <si>
    <t xml:space="preserve">unclassifiable (Anatomical System);optic nerve;lung;heart;endometrium;placenta;macula lutea;fovea centralis;choroid;lens;brain;mammary gland;retina;</t>
  </si>
  <si>
    <t xml:space="preserve">dorsal root ganglion;superior cervical ganglion;globus pallidus;ciliary ganglion;atrioventricular node;trigeminal ganglion;skeletal muscle;skin;</t>
  </si>
  <si>
    <t xml:space="preserve">CDK5RAP2</t>
  </si>
  <si>
    <t xml:space="preserve">TISSUE SPECIFICITY: Widely expressed. Expressed in heart, brain, placenta, lung, liver, skeletal muscle, kidney and pancreas. {ECO:0000269|PubMed:10721722}.; </t>
  </si>
  <si>
    <t xml:space="preserve">ovary;sympathetic chain;colon;parathyroid;fovea centralis;choroid;skin;retina;bone marrow;uterus;prostate;optic nerve;whole body;frontal lobe;bone;testis;germinal center;spinal ganglion;brain;artery;gall bladder;unclassifiable (Anatomical System);lymph node;cartilage;heart;islets of Langerhans;muscle;blood;lens;skeletal muscle;breast;pancreas;lung;nasopharynx;trabecular meshwork;placenta;macula lutea;liver;spleen;head and neck;cervix;kidney;mammary gland;aorta;stomach;peripheral nerve;thymus;</t>
  </si>
  <si>
    <t xml:space="preserve">superior cervical ganglion;testis - interstitial;globus pallidus;atrioventricular node;trigeminal ganglion;skeletal muscle;</t>
  </si>
  <si>
    <t xml:space="preserve">FMN2</t>
  </si>
  <si>
    <t xml:space="preserve">TISSUE SPECIFICITY: Expressed almost exclusively in the developing and mature central nervous system. {ECO:0000269|PubMed:10781961}.; </t>
  </si>
  <si>
    <t xml:space="preserve">unclassifiable (Anatomical System);ovary;hypothalamus;placenta;parathyroid;germinal center;brain;</t>
  </si>
  <si>
    <t xml:space="preserve">whole brain;amygdala;superior cervical ganglion;medulla oblongata;occipital lobe;olfactory bulb;hypothalamus;pons;atrioventricular node;subthalamic nucleus;prefrontal cortex;ciliary ganglion;trigeminal ganglion;parietal lobe;cingulate cortex;cerebellum;</t>
  </si>
  <si>
    <t xml:space="preserve">HERC2</t>
  </si>
  <si>
    <t xml:space="preserve">ovary;colon;parathyroid;fovea centralis;choroid;skin;retina;bone marrow;uterus;prostate;optic nerve;frontal lobe;cerebral cortex;endometrium;larynx;bone;thyroid;iris;testis;germinal center;brain;unclassifiable (Anatomical System);cartilage;heart;nervous;islets of Langerhans;blood;lens;skeletal muscle;breast;pancreas;lung;cornea;adrenal gland;epididymis;nasopharynx;placenta;macula lutea;hippocampus;duodenum;hypopharynx;liver;spleen;head and neck;kidney;mammary gland;stomach;thymus;</t>
  </si>
  <si>
    <t xml:space="preserve">whole brain;amygdala;medulla oblongata;thalamus;superior cervical ganglion;prefrontal cortex;caudate nucleus;pons;trigeminal ganglion;cingulate cortex;</t>
  </si>
  <si>
    <t xml:space="preserve">MYH9</t>
  </si>
  <si>
    <t xml:space="preserve">TISSUE SPECIFICITY: In the kidney, expressed in the glomeruli. Also expressed in leukocytes. {ECO:0000269|PubMed:11752022, ECO:0000269|PubMed:1912569}.; </t>
  </si>
  <si>
    <t xml:space="preserve">smooth muscle;ovary;sympathetic chain;skin;retina;bone marrow;prostate;ganglion;endometrium;cochlea;thyroid;amniotic fluid;germinal center;bladder;brain;tonsil;heart;cartilage;tongue;pharynx;blood;breast;visual apparatus;liver;alveolus;spleen;cervix;mammary gland;peripheral nerve;salivary gland;intestine;colon;parathyroid;choroid;uterus;oesophagus;larynx;bone;testis;artery;spinal ganglion;unclassifiable (Anatomical System);lymph node;lacrimal gland;islets of Langerhans;muscle;pancreas;lung;cornea;placenta;hippocampus;amnion;hypopharynx;head and neck;kidney;stomach;aorta;</t>
  </si>
  <si>
    <t xml:space="preserve">dorsal root ganglion;superior cervical ganglion;testis - seminiferous tubule;placenta;ciliary ganglion;atrioventricular node;trigeminal ganglion;skin;skeletal muscle;bone marrow;</t>
  </si>
  <si>
    <t xml:space="preserve">LPIN2</t>
  </si>
  <si>
    <t xml:space="preserve">TISSUE SPECIFICITY: Expressed in liver, lung, kidney, placenta, spleen, thymus, lymph node, prostate, testes, small intestine, and colon. {ECO:0000269|PubMed:15994876, ECO:0000269|PubMed:17158099}.; </t>
  </si>
  <si>
    <t xml:space="preserve">smooth muscle;ovary;salivary gland;sympathetic chain;intestine;colon;parathyroid;fovea centralis;choroid;skin;retina;bone marrow;uterus;prostate;optic nerve;whole body;frontal lobe;cerebral cortex;endometrium;bone;thyroid;pituitary gland;testis;germinal center;spinal ganglion;brain;pineal gland;bladder;unclassifiable (Anatomical System);trophoblast;cartilage;heart;islets of Langerhans;pharynx;blood;lens;skeletal muscle;lung;nasopharynx;placenta;macula lutea;visual apparatus;liver;spleen;kidney;stomach;aorta;</t>
  </si>
  <si>
    <t xml:space="preserve">superior cervical ganglion;fetal liver;</t>
  </si>
  <si>
    <t xml:space="preserve">ANK2</t>
  </si>
  <si>
    <t xml:space="preserve">TISSUE SPECIFICITY: Present in plasma membrane of neurons as well as glial cells throughout the brain. Expressed in fetal brain and in temporal cortex of adult brain. Also expressed in the inner segments of rod photoreceptors in retina. {ECO:0000269|PubMed:1830053, ECO:0000269|PubMed:1833308, ECO:0000269|PubMed:19007774}.; </t>
  </si>
  <si>
    <t xml:space="preserve">sympathetic chain;colon;fovea centralis;choroid;skin;retina;uterus;prostate;optic nerve;whole body;frontal lobe;testis;spinal ganglion;brain;unclassifiable (Anatomical System);amygdala;heart;cartilage;islets of Langerhans;hypothalamus;spinal cord;lens;skeletal muscle;lung;adrenal gland;nasopharynx;trabecular meshwork;visual apparatus;hippocampus;macula lutea;liver;spleen;head and neck;kidney;aorta;stomach;peripheral nerve;</t>
  </si>
  <si>
    <t xml:space="preserve">amygdala;dorsal root ganglion;whole brain;superior cervical ganglion;medulla oblongata;occipital lobe;thalamus;cerebellum peduncles;hypothalamus;temporal lobe;spinal cord;pons;caudate nucleus;subthalamic nucleus;fetal brain;prefrontal cortex;globus pallidus;ciliary ganglion;trigeminal ganglion;parietal lobe;cingulate cortex;cerebellum;</t>
  </si>
  <si>
    <t xml:space="preserve">RELN</t>
  </si>
  <si>
    <t xml:space="preserve">TISSUE SPECIFICITY: Abundantly produced during brain ontogenesis by the Cajal-Retzius cells and other pioneer neurons located in the telencephalic marginal zone and by granule cells of the external granular layer of the cerebellum. In adult brain, preferentially expressed in GABAergic interneurons of prefrontal cortices, temporal cortex, hippocampus and glutamatergic granule cells of cerebellum. Expression is reduced to about 50% in patients with schizophrenia. Also expressed in fetal and adult liver. {ECO:0000269|PubMed:9861036}.; </t>
  </si>
  <si>
    <t xml:space="preserve">unclassifiable (Anatomical System);amygdala;heart;cartilage;colon;fovea centralis;skin;skeletal muscle;retina;uterus;breast;prostate;lung;cochlea;endometrium;macula lutea;visual apparatus;hippocampus;liver;testis;spleen;spinal ganglion;brain;</t>
  </si>
  <si>
    <t xml:space="preserve">dorsal root ganglion;amygdala;fetal liver;superior cervical ganglion;olfactory bulb;cerebellum peduncles;appendix;ciliary ganglion;atrioventricular node;pons;trigeminal ganglion;skeletal muscle;cerebellum;</t>
  </si>
  <si>
    <t xml:space="preserve">FAM126A</t>
  </si>
  <si>
    <t xml:space="preserve">TISSUE SPECIFICITY: Widely expressed. Highest levels in heart, brain, placenta, spleen and testis. {ECO:0000269|PubMed:10910037}.; </t>
  </si>
  <si>
    <t xml:space="preserve">EIF2B2</t>
  </si>
  <si>
    <t xml:space="preserve">lymphoreticular;medulla oblongata;ovary;colon;parathyroid;fovea centralis;choroid;skin;retina;bone marrow;uterus;prostate;optic nerve;whole body;frontal lobe;endometrium;larynx;bone;thyroid;testis;germinal center;brain;tonsil;unclassifiable (Anatomical System);lymph node;cartilage;heart;islets of Langerhans;blood;lens;skeletal muscle;breast;pancreas;lung;adrenal gland;placenta;macula lutea;visual apparatus;duodenum;liver;head and neck;spleen;cervix;kidney;aorta;stomach;</t>
  </si>
  <si>
    <t xml:space="preserve">superior cervical ganglion;globus pallidus;testis;ciliary ganglion;trigeminal ganglion;skeletal muscle;</t>
  </si>
  <si>
    <t xml:space="preserve">ABCC8</t>
  </si>
  <si>
    <t xml:space="preserve">unclassifiable (Anatomical System);lung;heart;islets of Langerhans;bone;brain;mammary gland;skeletal muscle;cerebellum;</t>
  </si>
  <si>
    <t xml:space="preserve">whole brain;occipital lobe;superior cervical ganglion;cerebellum peduncles;beta cell islets;prefrontal cortex;parietal lobe;cerebellum;</t>
  </si>
  <si>
    <t xml:space="preserve">GLE1</t>
  </si>
  <si>
    <t xml:space="preserve">GLE1, RNA export mediator</t>
  </si>
  <si>
    <t xml:space="preserve">ovary;salivary gland;intestine;colon;fovea centralis;choroid;skin;retina;bone marrow;uterus;prostate;optic nerve;bone;thyroid;iris;testis;germinal center;brain;bladder;unclassifiable (Anatomical System);heart;pharynx;blood;lens;skeletal muscle;bile duct;breast;lung;nasopharynx;placenta;macula lutea;visual apparatus;liver;spleen;head and neck;cervix;kidney;mammary gland;stomach;thymus;</t>
  </si>
  <si>
    <t xml:space="preserve">dorsal root ganglion;testis - interstitial;superior cervical ganglion;testis - seminiferous tubule;testis;ciliary ganglion;atrioventricular node;skeletal muscle;</t>
  </si>
  <si>
    <t xml:space="preserve">NDUFS7</t>
  </si>
  <si>
    <t xml:space="preserve">myocardium;medulla oblongata;ovary;salivary gland;colon;fovea centralis;choroid;skin;retina;uterus;prostate;optic nerve;frontal lobe;thyroid;testis;brain;unclassifiable (Anatomical System);cartilage;islets of Langerhans;hypothalamus;muscle;lens;skeletal muscle;pancreas;lung;placenta;macula lutea;visual apparatus;hippocampus;liver;duodenum;spleen;head and neck;cervix;mammary gland;stomach;</t>
  </si>
  <si>
    <t xml:space="preserve">thalamus;liver;skeletal muscle;</t>
  </si>
  <si>
    <t xml:space="preserve">EHMT1</t>
  </si>
  <si>
    <t xml:space="preserve">TISSUE SPECIFICITY: Widely expressed. {ECO:0000269|PubMed:11347906}.; </t>
  </si>
  <si>
    <t xml:space="preserve">unclassifiable (Anatomical System);lymph node;ovary;islets of Langerhans;salivary gland;colon;parathyroid;blood;skin;bone marrow;uterus;prostate;lung;frontal lobe;epididymis;placenta;liver;testis;spleen;germinal center;kidney;brain;mammary gland;</t>
  </si>
  <si>
    <t xml:space="preserve">subthalamic nucleus;globus pallidus;atrioventricular node;pons;trigeminal ganglion;skeletal muscle;</t>
  </si>
  <si>
    <t xml:space="preserve">AQP5</t>
  </si>
  <si>
    <t xml:space="preserve">unclassifiable (Anatomical System);medulla oblongata;heart;ovary;lacrimal gland;adrenal cortex;colon;parathyroid;lens;skin;retina;uterus;optic nerve;lung;endometrium;larynx;placenta;testis;kidney;brain;stomach;</t>
  </si>
  <si>
    <t xml:space="preserve">testis - interstitial;trachea;testis - seminiferous tubule;appendix;testis;trigeminal ganglion;skeletal muscle;</t>
  </si>
  <si>
    <t xml:space="preserve">KMT2D</t>
  </si>
  <si>
    <t xml:space="preserve">TISSUE SPECIFICITY: Expressed in most adult tissues, including a variety of hematoipoietic cells, with the exception of the liver.; </t>
  </si>
  <si>
    <t xml:space="preserve">IGF1</t>
  </si>
  <si>
    <t xml:space="preserve">ovary;colon;parathyroid;skin;retina;uterus;prostate;whole body;cochlea;endometrium;bone;testis;artery;unclassifiable (Anatomical System);lymph node;cartilage;heart;islets of Langerhans;hypothalamus;blood;skeletal muscle;breast;pancreas;lung;adrenal gland;internal ear;placenta;visual apparatus;liver;spleen;head and neck;kidney;mammary gland;stomach;aorta;peripheral nerve;</t>
  </si>
  <si>
    <t xml:space="preserve">dorsal root ganglion;uterus;superior cervical ganglion;testis - interstitial;uterus corpus;adipose tissue;liver;testis;ciliary ganglion;atrioventricular node;skeletal muscle;</t>
  </si>
  <si>
    <t xml:space="preserve">IGF1R</t>
  </si>
  <si>
    <t xml:space="preserve">TISSUE SPECIFICITY: Found as a hybrid receptor with INSR in muscle, heart, kidney, adipose tissue, skeletal muscle, hepatoma, fibroblasts, spleen and placenta (at protein level). Expressed in a variety of tissues. Overexpressed in tumors, including melanomas, cancers of the colon, pancreas prostate and kidney. {ECO:0000269|PubMed:12019176, ECO:0000269|PubMed:8247543, ECO:0000269|PubMed:9202395, ECO:0000269|PubMed:9355755}.; </t>
  </si>
  <si>
    <t xml:space="preserve">ovary;colon;parathyroid;fovea centralis;choroid;skin;retina;uterus;optic nerve;frontal lobe;larynx;thyroid;bone;testis;brain;unclassifiable (Anatomical System);heart;islets of Langerhans;muscle;lens;skeletal muscle;bile duct;breast;pancreas;lung;epididymis;adrenal gland;placenta;macula lutea;liver;head and neck;kidney;mammary gland;</t>
  </si>
  <si>
    <t xml:space="preserve">superior cervical ganglion;prostate;prefrontal cortex;</t>
  </si>
  <si>
    <t xml:space="preserve">IL10RB</t>
  </si>
  <si>
    <t xml:space="preserve">lymphoreticular;myocardium;smooth muscle;ovary;colon;parathyroid;skin;bone marrow;prostate;bone;germinal center;brain;unclassifiable (Anatomical System);lymph node;cartilage;hypothalamus;adrenal cortex;blood;skeletal muscle;pancreas;lung;placenta;visual apparatus;liver;spleen;cervix;kidney;mammary gland;stomach;aorta;peripheral nerve;</t>
  </si>
  <si>
    <t xml:space="preserve">superior cervical ganglion;whole blood;</t>
  </si>
  <si>
    <t xml:space="preserve">NALCN</t>
  </si>
  <si>
    <t xml:space="preserve">unclassifiable (Anatomical System);heart;ovary;islets of Langerhans;parathyroid;skin;skeletal muscle;uterus;pancreas;lung;frontal lobe;placenta;bone;liver;head and neck;brain;</t>
  </si>
  <si>
    <t xml:space="preserve">amygdala;dorsal root ganglion;whole brain;occipital lobe;superior cervical ganglion;globus pallidus;ciliary ganglion;atrioventricular node;pons;trigeminal ganglion;skeletal muscle;</t>
  </si>
  <si>
    <t xml:space="preserve">SLC30A10</t>
  </si>
  <si>
    <t xml:space="preserve">solute carrier family 30 member 10</t>
  </si>
  <si>
    <t xml:space="preserve">TISSUE SPECIFICITY: Specifically expressed in fetal liver and fetal brain. {ECO:0000269|PubMed:15154973}.; </t>
  </si>
  <si>
    <t xml:space="preserve">meninges;pia mater;hypothalamus;liver;dura mater;brain;skin;</t>
  </si>
  <si>
    <t xml:space="preserve">superior cervical ganglion;appendix;ciliary ganglion;trigeminal ganglion;skeletal muscle;</t>
  </si>
  <si>
    <t xml:space="preserve">GLI2</t>
  </si>
  <si>
    <t xml:space="preserve">TISSUE SPECIFICITY: Isoform 1 and isoform 4 are expressed in HTLV- 1-infected T-cell lines (at protein level). Isoform 1 and isoform 2 are strongly expressed in HTLV-1-infected T-cell lines. Isoform 3 and isoform 4 are weakly expressed in HTLV-1-infected T-cell lines. {ECO:0000269|PubMed:9557682}.; </t>
  </si>
  <si>
    <t xml:space="preserve">unclassifiable (Anatomical System);lung;synovium;brain;stomach;bone marrow;</t>
  </si>
  <si>
    <t xml:space="preserve">dorsal root ganglion;superior cervical ganglion;globus pallidus;ciliary ganglion;atrioventricular node;pons;trigeminal ganglion;skeletal muscle;</t>
  </si>
  <si>
    <t xml:space="preserve">CDON</t>
  </si>
  <si>
    <t xml:space="preserve">unclassifiable (Anatomical System);breast;testis;</t>
  </si>
  <si>
    <t xml:space="preserve">superior cervical ganglion;skeletal muscle;cerebellum;</t>
  </si>
  <si>
    <t xml:space="preserve">KNG1</t>
  </si>
  <si>
    <t xml:space="preserve">TISSUE SPECIFICITY: Secreted in plasma. T-kinin is detected in malignant ovarian, colon and breast carcinomas, but not in benign tumors. {ECO:0000269|PubMed:2076202}.; </t>
  </si>
  <si>
    <t xml:space="preserve">unclassifiable (Anatomical System);prostate;cerebral cortex;liver;colon;spleen;kidney;stomach;</t>
  </si>
  <si>
    <t xml:space="preserve">dorsal root ganglion;fetal liver;superior cervical ganglion;liver;fetal lung;kidney;trigeminal ganglion;skeletal muscle;</t>
  </si>
  <si>
    <t xml:space="preserve">TTN</t>
  </si>
  <si>
    <t xml:space="preserve">TISSUE SPECIFICITY: Isoforms 3, 7 and 8 are expressed in cardiac muscle. Isoform 4 is expressed in vertebrate skeletal muscle. Isoform 6 is expressed in skeletal muscle (at protein level). {ECO:0000269|PubMed:11717165, ECO:0000269|PubMed:7819249}.; </t>
  </si>
  <si>
    <t xml:space="preserve">myocardium;ovary;colon;parathyroid;choroid;fovea centralis;skin;bone marrow;retina;uterus;prostate;whole body;optic nerve;atrium;frontal lobe;larynx;thyroid;bone;testis;germinal center;unclassifiable (Anatomical System);heart;tongue;muscle;spinal cord;blood;lens;skeletal muscle;pancreas;lung;nasopharynx;placenta;visual apparatus;macula lutea;alveolus;liver;spleen;head and neck;kidney;peripheral nerve;</t>
  </si>
  <si>
    <t xml:space="preserve">superior cervical ganglion;tongue;thyroid;globus pallidus;testis;atrioventricular node;pons;fetal thyroid;trigeminal ganglion;skeletal muscle;</t>
  </si>
  <si>
    <t xml:space="preserve">AK1</t>
  </si>
  <si>
    <t xml:space="preserve">myocardium;medulla oblongata;ovary;sympathetic chain;skin;retina;prostate;optic nerve;frontal lobe;thyroid;amniotic fluid;bladder;brain;heart;cartilage;tongue;pineal body;pharynx;blood;lens;skeletal muscle;breast;epididymis;visual apparatus;macula lutea;liver;spleen;cervix;mammary gland;salivary gland;intestine;colon;parathyroid;fovea centralis;vein;uterus;whole body;bone;testis;unclassifiable (Anatomical System);islets of Langerhans;hypothalamus;muscle;bile duct;pancreas;lung;placenta;hippocampus;head and neck;kidney;stomach;</t>
  </si>
  <si>
    <t xml:space="preserve">superior cervical ganglion;heart;ciliary ganglion;atrioventricular node;trigeminal ganglion;skeletal muscle;</t>
  </si>
  <si>
    <t xml:space="preserve">KDR</t>
  </si>
  <si>
    <t xml:space="preserve">TISSUE SPECIFICITY: Detected in cornea (at protein level). Widely expressed. {ECO:0000269|PubMed:19668192}.; </t>
  </si>
  <si>
    <t xml:space="preserve">colon;parathyroid;fovea centralis;choroid;retina;uterus;prostate;whole body;frontal lobe;cochlea;larynx;thyroid;bone;iris;pituitary gland;testis;brain;unclassifiable (Anatomical System);heart;cartilage;islets of Langerhans;spinal cord;skeletal muscle;pancreas;lung;adrenal gland;placenta;macula lutea;visual apparatus;liver;spleen;head and neck;kidney;mammary gland;stomach;</t>
  </si>
  <si>
    <t xml:space="preserve">placenta;ciliary ganglion;</t>
  </si>
  <si>
    <t xml:space="preserve">FTO</t>
  </si>
  <si>
    <t xml:space="preserve">TISSUE SPECIFICITY: Ubiquitously expressed, with relatively high expression in adrenal glands and brain; especially in hypothalamus and pituitary. {ECO:0000269|PubMed:17434869, ECO:0000269|PubMed:17496892}.; </t>
  </si>
  <si>
    <t xml:space="preserve">ovary;salivary gland;intestine;colon;parathyroid;fovea centralis;choroid;skin;retina;bone marrow;prostate;optic nerve;whole body;frontal lobe;testis;germinal center;brain;bladder;unclassifiable (Anatomical System);pharynx;blood;lens;skeletal muscle;breast;pancreas;lung;placenta;macula lutea;visual apparatus;hippocampus;liver;spleen;cervix;kidney;stomach;</t>
  </si>
  <si>
    <t xml:space="preserve">amygdala;dorsal root ganglion;occipital lobe;thalamus;medulla oblongata;cerebellum peduncles;hypothalamus;spinal cord;temporal lobe;pons;caudate nucleus;subthalamic nucleus;adrenal gland;prefrontal cortex;globus pallidus;parietal lobe;cingulate cortex;cerebellum;</t>
  </si>
  <si>
    <t xml:space="preserve">GLI3</t>
  </si>
  <si>
    <t xml:space="preserve">TISSUE SPECIFICITY: Is expressed in a wide variety of normal adult tissues, including lung, colon, spleen, placenta, testis, and myometrium.; </t>
  </si>
  <si>
    <t xml:space="preserve">NCF4</t>
  </si>
  <si>
    <t xml:space="preserve">TISSUE SPECIFICITY: Expression is restricted to hematopoietic cells.; </t>
  </si>
  <si>
    <t xml:space="preserve">unclassifiable (Anatomical System);lymph node;cartilage;umbilical cord;ovary;heart;colon;blood;choroid;skeletal muscle;bone marrow;uterus;pancreas;lung;nasopharynx;bone;placenta;liver;testis;spleen;germinal center;brain;</t>
  </si>
  <si>
    <t xml:space="preserve">whole blood;trigeminal ganglion;bone marrow;</t>
  </si>
  <si>
    <t xml:space="preserve">GGT1</t>
  </si>
  <si>
    <t xml:space="preserve">TISSUE SPECIFICITY: Detected in fetal and adult kidney and liver, adult pancreas, stomach, intestine, placenta and lung. Isoform 3 is lung-specific. There are several other tissue-specific forms that arise from alternative promoter usage but that produce the same protein.; </t>
  </si>
  <si>
    <t xml:space="preserve">unclassifiable (Anatomical System);cartilage;heart;tongue;colon;fovea centralis;choroid;lens;retina;breast;uterus;pancreas;prostate;optic nerve;lung;frontal lobe;macula lutea;liver;testis;head and neck;spleen;kidney;mammary gland;stomach;</t>
  </si>
  <si>
    <t xml:space="preserve">ITGB3</t>
  </si>
  <si>
    <t xml:space="preserve">TISSUE SPECIFICITY: Isoform beta-3A and isoform beta-3C are widely expressed. Isoform beta-3A is specifically expressed in osteoblast cells; isoform beta-3C is specifically expressed in prostate and testis.; </t>
  </si>
  <si>
    <t xml:space="preserve">ovary;colon;parathyroid;fovea centralis;choroid;skin;retina;uterus;prostate;optic nerve;larynx;thyroid;bone;testis;germinal center;brain;unclassifiable (Anatomical System);heart;lens;skeletal muscle;lung;cornea;placenta;macula lutea;liver;amnion;spleen;head and neck;kidney;mammary gland;</t>
  </si>
  <si>
    <t xml:space="preserve">dorsal root ganglion;uterus corpus;superior cervical ganglion;appendix;globus pallidus;ciliary ganglion;kidney;atrioventricular node;pons;trigeminal ganglion;whole blood;skeletal muscle;</t>
  </si>
  <si>
    <t xml:space="preserve">ADAMTSL2</t>
  </si>
  <si>
    <t xml:space="preserve">unclassifiable (Anatomical System);breast;lung;islets of Langerhans;visual apparatus;colon;spleen;kidney;spinal ganglion;brain;skeletal muscle;stomach;</t>
  </si>
  <si>
    <t xml:space="preserve">subthalamic nucleus;superior cervical ganglion;ciliary ganglion;atrioventricular node;trigeminal ganglion;skeletal muscle;</t>
  </si>
  <si>
    <t xml:space="preserve">ABCA4</t>
  </si>
  <si>
    <t xml:space="preserve">TISSUE SPECIFICITY: Retinal-specific. Seems to be exclusively found in the rims of rod photoreceptor cells.; </t>
  </si>
  <si>
    <t xml:space="preserve">FRAS1</t>
  </si>
  <si>
    <t xml:space="preserve">TISSUE SPECIFICITY: Expressed in many adult tissues, with highest levels in kidney, pancreas and thalamus. Relatively high expression was also detected in fetal kidney and heart. {ECO:0000269|PubMed:12766769}.; </t>
  </si>
  <si>
    <t xml:space="preserve">unclassifiable (Anatomical System);cartilage;heart;muscle;colon;skin;skeletal muscle;lung;frontal lobe;endometrium;adrenal gland;larynx;bone;placenta;thyroid;visual apparatus;liver;testis;head and neck;spleen;kidney;brain;mammary gland;stomach;</t>
  </si>
  <si>
    <t xml:space="preserve">dorsal root ganglion;subthalamic nucleus;superior cervical ganglion;pancreas;globus pallidus;ciliary ganglion;atrioventricular node;caudate nucleus;pons;trigeminal ganglion;skeletal muscle;cerebellum;</t>
  </si>
  <si>
    <t xml:space="preserve">COL25A1</t>
  </si>
  <si>
    <t xml:space="preserve">TISSUE SPECIFICITY: Expressed predominantly in brain. Deposited preferentially in primitive or neuritic amyloid plaques which are typical of Alzheimer disease. {ECO:0000269|PubMed:11927537}.; </t>
  </si>
  <si>
    <t xml:space="preserve">DPP6</t>
  </si>
  <si>
    <t xml:space="preserve">TISSUE SPECIFICITY: Expressed predominantly in brain.; </t>
  </si>
  <si>
    <t xml:space="preserve">unclassifiable (Anatomical System);uterus;heart;visual apparatus;brain;skin;</t>
  </si>
  <si>
    <t xml:space="preserve">amygdala;whole brain;dorsal root ganglion;occipital lobe;medulla oblongata;thalamus;superior cervical ganglion;cerebellum peduncles;temporal lobe;caudate nucleus;pons;subthalamic nucleus;prefrontal cortex;globus pallidus;cingulate cortex;parietal lobe;cerebellum;</t>
  </si>
  <si>
    <t xml:space="preserve">F11</t>
  </si>
  <si>
    <t xml:space="preserve">TISSUE SPECIFICITY: Isoform 2 is produced by platelets and megakaryocytes but absent from other blood cells.; </t>
  </si>
  <si>
    <t xml:space="preserve">unclassifiable (Anatomical System);prostate;small intestine;islets of Langerhans;visual apparatus;liver;spleen;kidney;</t>
  </si>
  <si>
    <t xml:space="preserve">ALOX12</t>
  </si>
  <si>
    <t xml:space="preserve">arachidonate 12-lipoxygenase</t>
  </si>
  <si>
    <t xml:space="preserve">TISSUE SPECIFICITY: Expressed in vascular smooth muscle cells. {ECO:0000269|PubMed:23578768}.; </t>
  </si>
  <si>
    <t xml:space="preserve">unclassifiable (Anatomical System);lung;ovary;epididymis;colon;skeletal muscle;</t>
  </si>
  <si>
    <t xml:space="preserve">superior cervical ganglion;tongue;</t>
  </si>
  <si>
    <t xml:space="preserve">EPAS1</t>
  </si>
  <si>
    <t xml:space="preserve">TISSUE SPECIFICITY: Expressed in most tissues, with highest levels in placenta, lung and heart. Selectively expressed in endothelial cells.; </t>
  </si>
  <si>
    <t xml:space="preserve">smooth muscle;ovary;sympathetic chain;skin;retina;prostate;optic nerve;frontal lobe;thyroid;brain;gall bladder;tonsil;heart;cartilage;tongue;pharynx;blood;lens;skeletal muscle;breast;visual apparatus;liver;spleen;cervix;mammary gland;peripheral nerve;salivary gland;intestine;colon;parathyroid;choroid;uterus;whole body;atrium;cerebral cortex;larynx;bone;pituitary gland;testis;spinal ganglion;unclassifiable (Anatomical System);islets of Langerhans;bile duct;pancreas;lung;cornea;mesenchyma;adrenal gland;nasopharynx;placenta;head and neck;kidney;stomach;aorta;</t>
  </si>
  <si>
    <t xml:space="preserve">lung;placenta;fetal lung;skeletal muscle;</t>
  </si>
  <si>
    <t xml:space="preserve">SPTAN1</t>
  </si>
  <si>
    <t xml:space="preserve">spectrin alpha, non-erythrocytic 1</t>
  </si>
  <si>
    <t xml:space="preserve">lymphoreticular;ovary;sympathetic chain;skin;retina;bone marrow;prostate;optic nerve;frontal lobe;cochlea;endometrium;thyroid;amniotic fluid;germinal center;bladder;brain;gall bladder;tonsil;heart;cartilage;tongue;urinary;adrenal cortex;blood;lens;skeletal muscle;breast;macula lutea;visual apparatus;liver;spleen;cervix;mammary gland;colon;fovea centralis;choroid;uterus;cerebral cortex;larynx;bone;testis;spinal ganglion;unclassifiable (Anatomical System);lacrimal gland;islets of Langerhans;hypothalamus;bile duct;pancreas;lung;placenta;amnion;head and neck;kidney;stomach;thymus;cerebellum;</t>
  </si>
  <si>
    <t xml:space="preserve">whole brain;amygdala;dorsal root ganglion;occipital lobe;superior cervical ganglion;thalamus;medulla oblongata;cerebellum peduncles;temporal lobe;spinal cord;pons;atrioventricular node;caudate nucleus;skin;subthalamic nucleus;fetal brain;prefrontal cortex;globus pallidus;ciliary ganglion;trigeminal ganglion;parietal lobe;cingulate cortex;cerebellum;</t>
  </si>
  <si>
    <t xml:space="preserve">DMPK</t>
  </si>
  <si>
    <t xml:space="preserve">TISSUE SPECIFICITY: Most isoforms are expressed in many tissues including heart, skeletal muscle, liver and brain, except for isoform 2 which is only found in the heart and skeletal muscle, and isoform 14 which is only found in the brain, with high levels in the striatum, cerebellar cortex and pons. {ECO:0000269|PubMed:7488138}.; </t>
  </si>
  <si>
    <t xml:space="preserve">ovary;colon;skin;retina;uterus;prostate;frontal lobe;larynx;thyroid;iris;testis;germinal center;brain;spinal ganglion;tonsil;unclassifiable (Anatomical System);muscle;lens;lung;mesenchyma;placenta;liver;head and neck;cervix;kidney;stomach;</t>
  </si>
  <si>
    <t xml:space="preserve">superior cervical ganglion;atrioventricular node;pons;trigeminal ganglion;skeletal muscle;</t>
  </si>
  <si>
    <t xml:space="preserve">MYO5B</t>
  </si>
  <si>
    <t xml:space="preserve">myosin VB</t>
  </si>
  <si>
    <t xml:space="preserve">ovary;colon;parathyroid;fovea centralis;choroid;skin;retina;uterus;prostate;optic nerve;whole body;endometrium;thyroid;testis;dura mater;germinal center;brain;bladder;pineal gland;unclassifiable (Anatomical System);meninges;cartilage;heart;islets of Langerhans;lens;skeletal muscle;bile duct;breast;pia mater;lung;placenta;macula lutea;visual apparatus;liver;spleen;cervix;kidney;mammary gland;stomach;</t>
  </si>
  <si>
    <t xml:space="preserve">dorsal root ganglion;testis - interstitial;superior cervical ganglion;testis;globus pallidus;ciliary ganglion;pons;kidney;trigeminal ganglion;skeletal muscle;</t>
  </si>
  <si>
    <t xml:space="preserve">MAPK8IP1</t>
  </si>
  <si>
    <t xml:space="preserve">TISSUE SPECIFICITY: Highly expressed in brain. Expressed in neurons, localizing to neurite tips in differentiating cells. Also expressed in the pancreas, testis and prostate. Low levels in heart, ovary and small intestine. Decreased levels in pancreatic beta cells sensitize cells to IL-1-beta-induced apoptosis.; </t>
  </si>
  <si>
    <t xml:space="preserve">medulla oblongata;ovary;parathyroid;fovea centralis;choroid;skin;retina;prostate;optic nerve;whole body;frontal lobe;endometrium;pituitary gland;testis;spinal ganglion;brain;unclassifiable (Anatomical System);heart;islets of Langerhans;adrenal cortex;lens;bile duct;lung;placenta;macula lutea;hippocampus;visual apparatus;kidney;stomach;cerebellum;</t>
  </si>
  <si>
    <t xml:space="preserve">dorsal root ganglion;whole brain;superior cervical ganglion;occipital lobe;thalamus;medulla oblongata;olfactory bulb;cerebellum peduncles;caudate nucleus;pons;subthalamic nucleus;testis - seminiferous tubule;globus pallidus;testis;ciliary ganglion;trigeminal ganglion;cingulate cortex;amygdala;testis - interstitial;spinal cord;temporal lobe;atrioventricular node;skeletal muscle;prefrontal cortex;parietal lobe;cerebellum;</t>
  </si>
  <si>
    <t xml:space="preserve">PIEZO1</t>
  </si>
  <si>
    <t xml:space="preserve">TISSUE SPECIFICITY: Expressed in numerous tissues. In normal brain, expressed exclusively in neurons, not in astrocytes. In Alzheimer disease brains, expressed in about half of the activated astrocytes located around classical senile plaques. In Parkinson disease substantia nigra, not detected in melanin-containing neurons nor in activated astrocytes. Expressed in erythrocytes (at protein level). {ECO:0000269|PubMed:16854388, ECO:0000269|PubMed:22529292, ECO:0000269|PubMed:23479567}.; </t>
  </si>
  <si>
    <t xml:space="preserve">smooth muscle;ovary;skin;retina;prostate;optic nerve;frontal lobe;endometrium;thyroid;germinal center;bladder;brain;heart;cartilage;tongue;urinary;blood;cerebrum;lens;skeletal muscle;breast;epididymis;visual apparatus;macula lutea;liver;alveolus;spleen;cervix;mammary gland;colon;parathyroid;fovea centralis;choroid;uterus;whole body;bone;pituitary gland;testis;unclassifiable (Anatomical System);lymph node;islets of Langerhans;pancreas;lung;cornea;placenta;hypopharynx;head and neck;kidney;stomach;aorta;thymus;</t>
  </si>
  <si>
    <t xml:space="preserve">prostate;tumor;white blood cells;</t>
  </si>
  <si>
    <t xml:space="preserve">TSPEAR</t>
  </si>
  <si>
    <t xml:space="preserve">thrombospondin-type laminin G domain and EAR repeats</t>
  </si>
  <si>
    <t xml:space="preserve">unclassifiable (Anatomical System);uterus;lung;heart;skin;</t>
  </si>
  <si>
    <t xml:space="preserve">ESRRB</t>
  </si>
  <si>
    <t xml:space="preserve">unclassifiable (Anatomical System);optic nerve;heart;macula lutea;fovea centralis;choroid;lens;skeletal muscle;retina;</t>
  </si>
  <si>
    <t xml:space="preserve">superior cervical ganglion;ciliary ganglion;</t>
  </si>
  <si>
    <t xml:space="preserve">DSPP</t>
  </si>
  <si>
    <t xml:space="preserve">TISSUE SPECIFICITY: Expressed in teeth. DPP is synthesized by odontoblast and transiently expressed by pre-ameloblasts.; </t>
  </si>
  <si>
    <t xml:space="preserve">skeletal muscle;</t>
  </si>
  <si>
    <t xml:space="preserve">GRHL2</t>
  </si>
  <si>
    <t xml:space="preserve">TISSUE SPECIFICITY: Expressed in keratinocytes (at protein level). Highly expressed in placenta, prostate, brain and kidney. Lower- level expression in a variety of epithelial tissues such as thymus, lung, salivary gland, mammary gland and digestive tract. Expressed in the cochlear. {ECO:0000269|PubMed:12175488, ECO:0000269|PubMed:12393799, ECO:0000269|PubMed:20978075, ECO:0000269|PubMed:25152456}.; </t>
  </si>
  <si>
    <t xml:space="preserve">unclassifiable (Anatomical System);cartilage;heart;ovary;colon;blood;skin;skeletal muscle;breast;uterus;prostate;lung;endometrium;larynx;placenta;head and neck;stomach;</t>
  </si>
  <si>
    <t xml:space="preserve">MYO6</t>
  </si>
  <si>
    <t xml:space="preserve">TISSUE SPECIFICITY: Expressed in most tissues examined including heart, brain, placenta, pancreas, spleen, thymus, prostate, testis, ovary, small intestine and colon. Highest levels in brain, pancreas, testis and small intestine. Also expressed in fetal brain and cochlea. Isoform 1 and isoform 2, containing the small insert, and isoform 4, containing neither insert, are expressed in unpolarized epithelial cells. {ECO:0000269|PubMed:9259267}.; </t>
  </si>
  <si>
    <t xml:space="preserve">ZEB1</t>
  </si>
  <si>
    <t xml:space="preserve">TISSUE SPECIFICITY: Colocalizes with SMARCA4/BRG1 in E-cadherin- negative cells from established lines, and stroma of normal colon as well as in de-differentiated epithelial cells at the invasion front of colorectal carcinomas (at protein level). Expressed in heart and skeletal muscle, but not in liver, spleen, or pancreas. {ECO:0000269|PubMed:20418909}.; </t>
  </si>
  <si>
    <t xml:space="preserve">lymphoreticular;ovary;salivary gland;intestine;colon;parathyroid;skin;retina;bone marrow;uterus;prostate;whole body;endometrium;bone;testis;germinal center;brain;artery;bladder;unclassifiable (Anatomical System);cartilage;heart;tongue;islets of Langerhans;hypothalamus;spinal cord;pharynx;blood;skeletal muscle;breast;pancreas;lung;placenta;visual apparatus;liver;spleen;head and neck;kidney;aorta;stomach;</t>
  </si>
  <si>
    <t xml:space="preserve">uterus;superior cervical ganglion;occipital lobe;adipose tissue;spinal cord;atrioventricular node;</t>
  </si>
  <si>
    <t xml:space="preserve">ALG6</t>
  </si>
  <si>
    <t xml:space="preserve">ovary;colon;parathyroid;fovea centralis;choroid;skin;retina;bone marrow;uterus;optic nerve;frontal lobe;endometrium;testis;germinal center;brain;unclassifiable (Anatomical System);blood;lens;skeletal muscle;pancreas;lung;mesenchyma;nasopharynx;placenta;macula lutea;liver;kidney;stomach;thymus;</t>
  </si>
  <si>
    <t xml:space="preserve">POC1B</t>
  </si>
  <si>
    <t xml:space="preserve">TISSUE SPECIFICITY: Expressed in the retina. {ECO:0000269|PubMed:25044745}.; </t>
  </si>
  <si>
    <t xml:space="preserve">ovary;colon;fovea centralis;choroid;skin;retina;uterus;prostate;optic nerve;whole body;endometrium;testis;brain;unclassifiable (Anatomical System);heart;lens;skeletal muscle;bile duct;breast;pancreas;lung;nasopharynx;placenta;macula lutea;visual apparatus;liver;spleen;kidney;mammary gland;stomach;aorta;</t>
  </si>
  <si>
    <t xml:space="preserve">testis - interstitial;superior cervical ganglion;globus pallidus;ciliary ganglion;atrioventricular node;</t>
  </si>
  <si>
    <t xml:space="preserve">HYDIN</t>
  </si>
  <si>
    <t xml:space="preserve">unclassifiable (Anatomical System);lung;ovary;islets of Langerhans;thyroid;muscle;testis;kidney;brain;skeletal muscle;retina;</t>
  </si>
  <si>
    <t xml:space="preserve">dorsal root ganglion;subthalamic nucleus;superior cervical ganglion;cerebellum peduncles;globus pallidus;ciliary ganglion;atrioventricular node;trigeminal ganglion;skeletal muscle;parietal lobe;</t>
  </si>
  <si>
    <t xml:space="preserve">DNAH5</t>
  </si>
  <si>
    <t xml:space="preserve">unclassifiable (Anatomical System);endometrium;islets of Langerhans;bone;amnion;blood;kidney;mammary gland;corpus callosum;</t>
  </si>
  <si>
    <t xml:space="preserve">dorsal root ganglion;superior cervical ganglion;ciliary ganglion;atrioventricular node;skeletal muscle;</t>
  </si>
  <si>
    <t xml:space="preserve">DYX1C1</t>
  </si>
  <si>
    <t xml:space="preserve">dyslexia susceptibility 1 candidate 1</t>
  </si>
  <si>
    <t xml:space="preserve">TISSUE SPECIFICITY: Expressed in several tissues, including brain, lung, kidney and testis. In brain localizes to a fraction of cortical neurons and white matter glial cells. {ECO:0000269|PubMed:12954984}.; </t>
  </si>
  <si>
    <t xml:space="preserve">NKX2-1</t>
  </si>
  <si>
    <t xml:space="preserve">0.0819264859161676</t>
  </si>
  <si>
    <t xml:space="preserve">NK2 homeobox 1</t>
  </si>
  <si>
    <t xml:space="preserve">TISSUE SPECIFICITY: Thyroid and lung.; </t>
  </si>
  <si>
    <t xml:space="preserve">unclassifiable (Anatomical System);prostate;lung;cartilage;endometrium;thyroid;testis;brain;stomach;</t>
  </si>
  <si>
    <t xml:space="preserve">superior cervical ganglion;lung;thyroid;fetal lung;fetal thyroid;skeletal muscle;</t>
  </si>
  <si>
    <t xml:space="preserve">IARS2</t>
  </si>
  <si>
    <t xml:space="preserve">isoleucyl-tRNA synthetase 2, mitochondrial</t>
  </si>
  <si>
    <t xml:space="preserve">lymphoreticular;ovary;colon;skin;bone marrow;uterus;prostate;whole body;endometrium;larynx;bone;thyroid;pituitary gland;testis;dura mater;germinal center;spinal ganglion;brain;gall bladder;unclassifiable (Anatomical System);meninges;lymph node;cartilage;heart;tongue;hypothalamus;blood;lens;skeletal muscle;breast;bile duct;pia mater;lung;nasopharynx;trabecular meshwork;placenta;visual apparatus;hypopharynx;liver;cervix;spleen;head and neck;kidney;mammary gland;aorta;stomach;</t>
  </si>
  <si>
    <t xml:space="preserve">amygdala;adipose tissue;testis;parietal lobe;</t>
  </si>
  <si>
    <t xml:space="preserve">ABCC9</t>
  </si>
  <si>
    <t xml:space="preserve">unclassifiable (Anatomical System);lung;whole body;frontal lobe;cartilage;liver;testis;brain;mammary gland;retina;</t>
  </si>
  <si>
    <t xml:space="preserve">dorsal root ganglion;superior cervical ganglion;appendix;ciliary ganglion;pons;atrioventricular node;trigeminal ganglion;skeletal muscle;</t>
  </si>
  <si>
    <t xml:space="preserve">TRAF3IP2</t>
  </si>
  <si>
    <t xml:space="preserve">TRAF3 interacting protein 2</t>
  </si>
  <si>
    <t xml:space="preserve">TISSUE SPECIFICITY: Widely expressed.; </t>
  </si>
  <si>
    <t xml:space="preserve">ovary;colon;parathyroid;fovea centralis;choroid;skin;retina;uterus;prostate;optic nerve;endometrium;larynx;bone;iris;testis;brain;unclassifiable (Anatomical System);cartilage;heart;tongue;islets of Langerhans;spinal cord;pharynx;blood;lens;skeletal muscle;bile duct;breast;pancreas;lung;trabecular meshwork;placenta;macula lutea;liver;alveolus;spleen;head and neck;cervix;kidney;mammary gland;stomach;thymus;</t>
  </si>
  <si>
    <t xml:space="preserve">prostate;superior cervical ganglion;adipose tissue;lung;placenta;ciliary ganglion;trigeminal ganglion;</t>
  </si>
  <si>
    <t xml:space="preserve">CACNB2</t>
  </si>
  <si>
    <t xml:space="preserve">TISSUE SPECIFICITY: Expressed in all tissues.; </t>
  </si>
  <si>
    <t xml:space="preserve">unclassifiable (Anatomical System);myocardium;heart;ovary;islets of Langerhans;parathyroid;fovea centralis;breast;uterus;pancreas;prostate;lung;frontal lobe;bone;placenta;macula lutea;hippocampus;pituitary gland;liver;spleen;kidney;brain;mammary gland;aorta;</t>
  </si>
  <si>
    <t xml:space="preserve">superior cervical ganglion;subthalamic nucleus;medulla oblongata;occipital lobe;cerebellum peduncles;temporal lobe;prefrontal cortex;globus pallidus;pons;pituitary;cingulate cortex;parietal lobe;</t>
  </si>
  <si>
    <t xml:space="preserve">BRCA2</t>
  </si>
  <si>
    <t xml:space="preserve">TISSUE SPECIFICITY: Highest levels of expression in breast and thymus, with slightly lower levels in lung, ovary and spleen.; </t>
  </si>
  <si>
    <t xml:space="preserve">TFAP2A</t>
  </si>
  <si>
    <t xml:space="preserve">ovary;salivary gland;parathyroid;choroid;fovea centralis;skin;retina;optic nerve;iris;unclassifiable (Anatomical System);tongue;lens;breast;pancreas;lung;placenta;visual apparatus;macula lutea;liver;cervix;spleen;head and neck;kidney;mammary gland;stomach;aorta;</t>
  </si>
  <si>
    <t xml:space="preserve">dorsal root ganglion;superior cervical ganglion;placenta;globus pallidus;ciliary ganglion;atrioventricular node;trigeminal ganglion;skeletal muscle;skin;</t>
  </si>
  <si>
    <t xml:space="preserve">CD207</t>
  </si>
  <si>
    <t xml:space="preserve">TISSUE SPECIFICITY: Exclusively expressed by Langerhans cells. Expressed in astrocytoma and malignant ependymoma, but not in normal brain tissues. {ECO:0000269|PubMed:10661407, ECO:0000269|PubMed:20026605}.; </t>
  </si>
  <si>
    <t xml:space="preserve">CNTNAP2</t>
  </si>
  <si>
    <t xml:space="preserve">contactin associated protein-like 2</t>
  </si>
  <si>
    <t xml:space="preserve">TISSUE SPECIFICITY: Predominantly expressed in nervous system. {ECO:0000269|PubMed:10624965}.; </t>
  </si>
  <si>
    <t xml:space="preserve">unclassifiable (Anatomical System);amygdala;heart;sympathetic chain;colon;blood;fovea centralis;choroid;lens;retina;optic nerve;lung;frontal lobe;macula lutea;testis;kidney;brain;</t>
  </si>
  <si>
    <t xml:space="preserve">amygdala;whole brain;dorsal root ganglion;superior cervical ganglion;occipital lobe;temporal lobe;pons;atrioventricular node;skeletal muscle;subthalamic nucleus;prefrontal cortex;globus pallidus;ciliary ganglion;trigeminal ganglion;cingulate cortex;parietal lobe;</t>
  </si>
  <si>
    <t xml:space="preserve">PIEZO2</t>
  </si>
  <si>
    <t xml:space="preserve">unclassifiable (Anatomical System);heart;cartilage;colon;blood;lens;skin;uterus;prostate;whole body;lung;frontal lobe;cerebral cortex;visual apparatus;hippocampus;liver;testis;spleen;brain;</t>
  </si>
  <si>
    <t xml:space="preserve">dorsal root ganglion;medulla oblongata;superior cervical ganglion;globus pallidus;ciliary ganglion;atrioventricular node;trigeminal ganglion;skeletal muscle;</t>
  </si>
  <si>
    <t xml:space="preserve">NOTCH1</t>
  </si>
  <si>
    <t xml:space="preserve">TISSUE SPECIFICITY: In fetal tissues most abundant in spleen, brain stem and lung. Also present in most adult tissues where it is found mainly in lymphoid tissues.; </t>
  </si>
  <si>
    <t xml:space="preserve">smooth muscle;ovary;colon;parathyroid;skin;retina;bone marrow;uterus;prostate;optic nerve;whole body;frontal lobe;oesophagus;endometrium;larynx;bone;thyroid;testis;germinal center;brain;unclassifiable (Anatomical System);cartilage;heart;lacrimal gland;islets of Langerhans;muscle;urinary;blood;breast;pancreas;lung;placenta;visual apparatus;liver;head and neck;kidney;mammary gland;stomach;</t>
  </si>
  <si>
    <t xml:space="preserve">dorsal root ganglion;superior cervical ganglion;subthalamic nucleus;globus pallidus;ciliary ganglion;pons;atrioventricular node;trigeminal ganglion;skeletal muscle;</t>
  </si>
  <si>
    <t xml:space="preserve">CST3</t>
  </si>
  <si>
    <t xml:space="preserve">TISSUE SPECIFICITY: Expressed in submandibular and sublingual saliva but not in parotid saliva (at protein level). Expressed in various body fluids, such as the cerebrospinal fluid and plasma. Expressed in highest levels in the epididymis, vas deferens, brain, thymus, and ovary and the lowest in the submandibular gland. {ECO:0000269|PubMed:15274116, ECO:0000269|PubMed:20189825}.; </t>
  </si>
  <si>
    <t xml:space="preserve">HR</t>
  </si>
  <si>
    <t xml:space="preserve">TISSUE SPECIFICITY: Strongest expression of isoforms 1 and 2 is seen in the small intestine, weaker expression in brain and colon, and trace expression is found in liver, pancreas, spleen, thymus, stomach, salivary gland, appendix and trachea. Isoform 1 is always the most abundant. Isoform 1 is exclusively expressed at low levels in kidney and testis. Isoform 2 is exclusively expressed at high levels in the skin. {ECO:0000269|PubMed:10051399, ECO:0000269|PubMed:9736769}.; </t>
  </si>
  <si>
    <t xml:space="preserve">unclassifiable (Anatomical System);heart;pineal body;colon;fovea centralis;choroid;lens;skin;retina;uterus;optic nerve;lung;frontal lobe;larynx;placenta;macula lutea;testis;head and neck;cervix;brain;bladder;stomach;</t>
  </si>
  <si>
    <t xml:space="preserve">dorsal root ganglion;superior cervical ganglion;subthalamic nucleus;globus pallidus;ciliary ganglion;atrioventricular node;trigeminal ganglion;skeletal muscle;</t>
  </si>
  <si>
    <t xml:space="preserve">TREX1</t>
  </si>
  <si>
    <t xml:space="preserve">0.093340719174628</t>
  </si>
  <si>
    <t xml:space="preserve">three prime repair exonuclease 1</t>
  </si>
  <si>
    <t xml:space="preserve">FUNCTION: Major cellular 3'-to-5' DNA exonuclease which digests single-stranded DNA (ssDNA) and double-stranded DNA (dsDNA) with mismatched 3' termini. Prevents cell-intrinsic initiation of autoimmunity. Acts by metabolizing DNA fragments from endogenous retroelements, including L1, LTR and SINE elements. Unless degraded, these DNA fragments accumulate in the cytosol and activate the IFN-stimulatory DNA (ISD) response and innate immune signaling. Prevents chronic ATM-dependent checkpoint activation, by processing ssDNA polynucleotide species arising from the processing of aberrant DNA replication intermediates. Inefficiently degrades oxidized DNA, such as that generated upon antimicrobial reactive oxygen production or upon absorption of UV light. During GZMA-mediated cell death, contributes to DNA damage in concert with NME1. NME1 nicks one strand of DNA and TREX1 removes bases from the free 3' end to enhance DNA damage and prevent DNA end reannealing and rapid repair. {ECO:0000269|PubMed:10391904, ECO:0000269|PubMed:10393201, ECO:0000269|PubMed:16818237, ECO:0000269|PubMed:17293595, ECO:0000269|PubMed:18045533, ECO:0000269|PubMed:23993650}.; </t>
  </si>
  <si>
    <t xml:space="preserve">TISSUE SPECIFICITY: Detected in thymus, spleen, liver, brain, heart, small intestine and colon. {ECO:0000269|PubMed:10393201, ECO:0000269|PubMed:11278605}.; </t>
  </si>
  <si>
    <t xml:space="preserve">ovary;salivary gland;colon;parathyroid;choroid;skin;retina;bone marrow;uterus;prostate;optic nerve;cerebral cortex;endometrium;larynx;iris;testis;germinal center;brain;unclassifiable (Anatomical System);lymph node;heart;cartilage;pineal body;adrenal cortex;blood;skeletal muscle;lung;placenta;liver;spleen;cervix;kidney;mammary gland;stomach;cerebellum;</t>
  </si>
  <si>
    <t xml:space="preserve">superior cervical ganglion;testis - seminiferous tubule;testis;atrioventricular node;trigeminal ganglion;</t>
  </si>
  <si>
    <t xml:space="preserve">PER2</t>
  </si>
  <si>
    <t xml:space="preserve">TISSUE SPECIFICITY: Widely expressed. Found in heart, brain, placenta, lung, liver, skeleatal muscle, kidney and pancreas. High levels in skeletal muscle and pancreas. Low levels in lung. Isoform 2 is expressed in keratinocytes (at protein level). {ECO:0000269|PubMed:9427249}.; </t>
  </si>
  <si>
    <t xml:space="preserve">ovary;colon;parathyroid;fovea centralis;choroid;retina;bone marrow;prostate;optic nerve;frontal lobe;larynx;bone;testis;brain;gall bladder;unclassifiable (Anatomical System);cartilage;hypothalamus;blood;lens;skeletal muscle;breast;lung;epididymis;placenta;macula lutea;liver;head and neck;kidney;stomach;aorta;</t>
  </si>
  <si>
    <t xml:space="preserve">testis - interstitial;superior cervical ganglion;testis - seminiferous tubule;testis;ciliary ganglion;pons;trigeminal ganglion;skeletal muscle;cerebellum;</t>
  </si>
  <si>
    <t xml:space="preserve">ABCD1</t>
  </si>
  <si>
    <t xml:space="preserve">unclassifiable (Anatomical System);lymph node;cartilage;ovary;colon;parathyroid;blood;choroid;skin;skeletal muscle;retina;pancreas;lung;adrenal gland;bone;placenta;alveolus;testis;cervix;kidney;brain;stomach;</t>
  </si>
  <si>
    <t xml:space="preserve">superior cervical ganglion;skeletal muscle;</t>
  </si>
  <si>
    <t xml:space="preserve">ACADL</t>
  </si>
  <si>
    <t xml:space="preserve">unclassifiable (Anatomical System);medulla oblongata;prostate;lung;cerebral cortex;bone;placenta;liver;testis;cervix;spleen;kidney;skeletal muscle;</t>
  </si>
  <si>
    <t xml:space="preserve">superior cervical ganglion;ciliary ganglion;atrioventricular node;trigeminal ganglion;</t>
  </si>
  <si>
    <t xml:space="preserve">AIP</t>
  </si>
  <si>
    <t xml:space="preserve">TISSUE SPECIFICITY: Widely expressed. Higher levels seen in the heart, placenta and skeletal muscle. Not expressed in the liver.; </t>
  </si>
  <si>
    <t xml:space="preserve">myocardium;lymphoreticular;medulla oblongata;smooth muscle;ovary;sympathetic chain;skin;retina;prostate;optic nerve;frontal lobe;endometrium;thyroid;germinal center;brain;tonsil;heart;cartilage;tongue;blood;lens;macula lutea;visual apparatus;liver;alveolus;spleen;mammary gland;salivary gland;colon;parathyroid;fovea centralis;choroid;uterus;whole body;cerebral cortex;bone;pituitary gland;testis;unclassifiable (Anatomical System);lymph node;lacrimal gland;islets of Langerhans;hypothalamus;pancreas;lung;placenta;duodenum;head and neck;kidney;stomach;aorta;thymus;cerebellum;</t>
  </si>
  <si>
    <t xml:space="preserve">superior cervical ganglion;liver;atrioventricular node;trigeminal ganglion;cerebellum;</t>
  </si>
  <si>
    <t xml:space="preserve">GNAS</t>
  </si>
  <si>
    <t xml:space="preserve">lymphoreticular;smooth muscle;ovary;sympathetic chain;skin;retina;bone marrow;prostate;optic nerve;frontal lobe;cochlea;endometrium;thyroid;iris;amniotic fluid;germinal center;ciliary body;bladder;brain;gall bladder;cartilage;heart;tongue;pineal body;urinary;adrenal cortex;pharynx;blood;lens;skeletal muscle;greater omentum;breast;epididymis;trabecular meshwork;macula lutea;visual apparatus;liver;spleen;cervix;mammary gland;salivary gland;intestine;colon;parathyroid;fovea centralis;choroid;uterus;whole body;oesophagus;cerebral cortex;larynx;synovium;bone;pituitary gland;testis;spinal ganglion;unclassifiable (Anatomical System);lymph node;cerebellum cortex;islets of Langerhans;hypothalamus;muscle;pancreas;lung;adrenal gland;nasopharynx;placenta;hippocampus;amnion;head and neck;kidney;stomach;aorta;cerebellum;</t>
  </si>
  <si>
    <t xml:space="preserve">amygdala;whole brain;occipital lobe;testis - interstitial;thalamus;medulla oblongata;superior cervical ganglion;cerebellum peduncles;hypothalamus;beta cell islets;temporal lobe;spinal cord;pons;fetal thyroid;skeletal muscle;subthalamic nucleus;testis - seminiferous tubule;prefrontal cortex;globus pallidus;testis;trigeminal ganglion;cingulate cortex;pituitary;parietal lobe;cerebellum;</t>
  </si>
  <si>
    <t xml:space="preserve">CNGB3</t>
  </si>
  <si>
    <t xml:space="preserve">TISSUE SPECIFICITY: Expressed specifically in the retina. {ECO:0000269|PubMed:10958649}.; </t>
  </si>
  <si>
    <t xml:space="preserve">medulla oblongata;hypothalamus;iris;pineal gland;skeletal muscle;retina;</t>
  </si>
  <si>
    <t xml:space="preserve">dorsal root ganglion;superior cervical ganglion;medulla oblongata;atrioventricular node;trigeminal ganglion;</t>
  </si>
  <si>
    <t xml:space="preserve">MTTP</t>
  </si>
  <si>
    <t xml:space="preserve">TISSUE SPECIFICITY: Liver and small intestine. Also found in ovary, testis and kidney. {ECO:0000269|PubMed:7961826}.; </t>
  </si>
  <si>
    <t xml:space="preserve">unclassifiable (Anatomical System);small intestine;colon;fovea centralis;skeletal muscle;prostate;macula lutea;liver;testis;spleen;kidney;artery;brain;aorta;</t>
  </si>
  <si>
    <t xml:space="preserve">ciliary ganglion;trigeminal ganglion;skeletal muscle;</t>
  </si>
  <si>
    <t xml:space="preserve">#Gene_name</t>
  </si>
  <si>
    <t xml:space="preserve">Tissue_specificity(Uniprot)</t>
  </si>
  <si>
    <t xml:space="preserve">Expression(egenetics)</t>
  </si>
  <si>
    <t xml:space="preserve">Expression(GNF/Atlas)</t>
  </si>
  <si>
    <t xml:space="preserve">OMIM-00</t>
  </si>
  <si>
    <t xml:space="preserve">OMIM-01</t>
  </si>
  <si>
    <t xml:space="preserve">OMIM-02</t>
  </si>
  <si>
    <t xml:space="preserve">OMIM-03</t>
  </si>
  <si>
    <t xml:space="preserve">OMIM-04</t>
  </si>
  <si>
    <t xml:space="preserve">OMIM-05</t>
  </si>
  <si>
    <t xml:space="preserve">OMIM-06</t>
  </si>
  <si>
    <t xml:space="preserve">A3GALT2</t>
  </si>
  <si>
    <t xml:space="preserve">AAGAB</t>
  </si>
  <si>
    <t xml:space="preserve">TISSUE SPECIFICITY: Widely expressed, including in skin and keratinocytes, with highest levels in adrenal gland, rectum and thymus. {ECO:0000269|PubMed:23000146, ECO:0000269|PubMed:23064416}.; </t>
  </si>
  <si>
    <t xml:space="preserve">medulla oblongata;ovary;colon;parathyroid;fovea centralis;choroid;vein;skin;retina;bone marrow;uterus;optic nerve;whole body;frontal lobe;endometrium;larynx;bone;iris;pituitary gland;testis;germinal center;brain;pineal gland;unclassifiable (Anatomical System);heart;epidermis;islets of Langerhans;blood;lens;pancreas;lung;nasopharynx;trabecular meshwork;placenta;macula lutea;visual apparatus;hippocampus;duodenum;liver;spleen;head and neck;kidney;mammary gland;stomach;</t>
  </si>
  <si>
    <t xml:space="preserve">superior cervical ganglion;ciliary ganglion;atrioventricular node;trigeminal ganglion;parietal lobe;skeletal muscle;cingulate cortex;</t>
  </si>
  <si>
    <t xml:space="preserve">ABCA11P</t>
  </si>
  <si>
    <t xml:space="preserve">ADAM15</t>
  </si>
  <si>
    <t xml:space="preserve">TISSUE SPECIFICITY: Expressed in colon and small intestine. Expressed in airway smooth muscle and glomerular mesangial cells (at protein level). Ubiquitously expressed. Overexpressed in atherosclerotic lesions. Constitutively expressed in cultured endothelium and smooth muscle. Expressed in chondrocytes. Expressed in airway smooth muscle and glomerular mesangial cells. {ECO:0000269|PubMed:12091380, ECO:0000269|PubMed:15358598, ECO:0000269|PubMed:17575078, ECO:0000269|PubMed:9016778}.; </t>
  </si>
  <si>
    <t xml:space="preserve">ovary;colon;parathyroid;fovea centralis;choroid;skin;retina;bone marrow;uterus;prostate;optic nerve;whole body;frontal lobe;cerebral cortex;endometrium;thyroid;bone;iris;testis;spinal ganglion;brain;unclassifiable (Anatomical System);cartilage;heart;lacrimal gland;islets of Langerhans;blood;lens;skeletal muscle;breast;pancreas;lung;mesenchyma;placenta;macula lutea;visual apparatus;liver;spleen;cervix;kidney;mammary gland;stomach;</t>
  </si>
  <si>
    <t xml:space="preserve">uterus corpus;subthalamic nucleus;superior cervical ganglion;lung;heart;placenta;</t>
  </si>
  <si>
    <t xml:space="preserve">ADGRL3</t>
  </si>
  <si>
    <t xml:space="preserve">AHCYL2</t>
  </si>
  <si>
    <t xml:space="preserve">colon;parathyroid;fovea centralis;choroid;skin;retina;uterus;optic nerve;whole body;frontal lobe;endometrium;bone;thyroid;pituitary gland;testis;dura mater;germinal center;ciliary body;brain;unclassifiable (Anatomical System);meninges;lymph node;cartilage;heart;tongue;islets of Langerhans;hypothalamus;lens;skeletal muscle;bile duct;breast;pancreas;pia mater;lung;placenta;macula lutea;visual apparatus;liver;hypopharynx;head and neck;kidney;mammary gland;stomach;</t>
  </si>
  <si>
    <t xml:space="preserve">amygdala;dorsal root ganglion;superior cervical ganglion;medulla oblongata;thyroid;spinal cord;prefrontal cortex;ciliary ganglion;pons;atrioventricular node;trigeminal ganglion;skeletal muscle;</t>
  </si>
  <si>
    <t xml:space="preserve">ALDH1A2</t>
  </si>
  <si>
    <t xml:space="preserve">colon;fovea centralis;choroid;skin;retina;uterus;prostate;optic nerve;whole body;frontal lobe;endometrium;bone;pituitary gland;testis;brain;unclassifiable (Anatomical System);heart;cartilage;islets of Langerhans;blood;lens;skeletal muscle;breast;lung;placenta;macula lutea;visual apparatus;kidney;peripheral nerve;</t>
  </si>
  <si>
    <t xml:space="preserve">testis - interstitial;testis - seminiferous tubule;testis;globus pallidus;skeletal muscle;</t>
  </si>
  <si>
    <t xml:space="preserve">ALOX12-AS1</t>
  </si>
  <si>
    <t xml:space="preserve">ALOX12 antisense RNA 1</t>
  </si>
  <si>
    <t xml:space="preserve">ALS2CL</t>
  </si>
  <si>
    <t xml:space="preserve">TISSUE SPECIFICITY: Expressed in heart and kidney. {ECO:0000269|PubMed:15388334}.; </t>
  </si>
  <si>
    <t xml:space="preserve">unclassifiable (Anatomical System);cartilage;ovary;lacrimal gland;pharynx;colon;skin;uterus;prostate;optic nerve;lung;nasopharynx;thyroid;placenta;liver;cervix;spleen;kidney;brain;aorta;stomach;</t>
  </si>
  <si>
    <t xml:space="preserve">dorsal root ganglion;medulla oblongata;superior cervical ganglion;ciliary ganglion;pons;kidney;atrioventricular node;trigeminal ganglion;cingulate cortex;skeletal muscle;parietal lobe;cerebellum;</t>
  </si>
  <si>
    <t xml:space="preserve">ANGEL2</t>
  </si>
  <si>
    <t xml:space="preserve">ovary;colon;fovea centralis;choroid;skin;retina;uterus;prostate;optic nerve;ganglion;endometrium;thyroid;testis;germinal center;brain;unclassifiable (Anatomical System);lymph node;heart;cartilage;islets of Langerhans;lens;skeletal muscle;breast;pancreas;lung;placenta;macula lutea;visual apparatus;liver;spleen;head and neck;cervix;kidney;mammary gland;</t>
  </si>
  <si>
    <t xml:space="preserve">dorsal root ganglion;superior cervical ganglion;prefrontal cortex;pons;trigeminal ganglion;</t>
  </si>
  <si>
    <t xml:space="preserve">ANKRD30BL</t>
  </si>
  <si>
    <t xml:space="preserve">lung;testis;</t>
  </si>
  <si>
    <t xml:space="preserve">ANKRD36BP2</t>
  </si>
  <si>
    <t xml:space="preserve">ANKRD36C</t>
  </si>
  <si>
    <t xml:space="preserve">unclassifiable (Anatomical System);lymph node;colon;skeletal muscle;retina;breast;uterus;prostate;whole body;lung;cornea;endometrium;larynx;nasopharynx;liver;testis;head and neck;germinal center;kidney;pineal gland;mammary gland;stomach;</t>
  </si>
  <si>
    <t xml:space="preserve">AP4B1-AS1</t>
  </si>
  <si>
    <t xml:space="preserve">AP4B1 antisense RNA 1</t>
  </si>
  <si>
    <t xml:space="preserve">APPL2</t>
  </si>
  <si>
    <t xml:space="preserve">TISSUE SPECIFICITY: High levels in brain, heart, kidney and skeletal muscle. {ECO:0000269|PubMed:11431708}.; </t>
  </si>
  <si>
    <t xml:space="preserve">medulla oblongata;ovary;salivary gland;intestine;colon;parathyroid;fovea centralis;choroid;skin;retina;bone marrow;uterus;prostate;optic nerve;whole body;cochlea;cerebral cortex;oesophagus;larynx;bone;thyroid;pituitary gland;testis;germinal center;brain;artery;bladder;unclassifiable (Anatomical System);cartilage;heart;islets of Langerhans;pharynx;blood;lens;skeletal muscle;breast;pancreas;lung;placenta;macula lutea;hippocampus;liver;spleen;head and neck;kidney;mammary gland;aorta;stomach;</t>
  </si>
  <si>
    <t xml:space="preserve">ARSD</t>
  </si>
  <si>
    <t xml:space="preserve">TISSUE SPECIFICITY: Expressed in the pancreas, kidney, liver, lung, placenta, brain and heart.; </t>
  </si>
  <si>
    <t xml:space="preserve">unclassifiable (Anatomical System);lung;ovary;placenta;blood;brain;mammary gland;vein;</t>
  </si>
  <si>
    <t xml:space="preserve">prostate;superior cervical ganglion;ciliary ganglion;atrioventricular node;pons;trigeminal ganglion;skeletal muscle;</t>
  </si>
  <si>
    <t xml:space="preserve">ASPH</t>
  </si>
  <si>
    <t xml:space="preserve">TISSUE SPECIFICITY: Isoform 1 is detected in all tissues tested. Isoform 8 is mainly expressed in pancreas, heart, brain, kidney and liver. Isoform 8 is expressed in kidney (at protein level). {ECO:0000269|PubMed:11007777}.; </t>
  </si>
  <si>
    <t xml:space="preserve">unclassifiable (Anatomical System);heart;liver;</t>
  </si>
  <si>
    <t xml:space="preserve">amygdala;dorsal root ganglion;whole brain;superior cervical ganglion;adipose tissue;cerebellum peduncles;pons;atrioventricular node;skeletal muscle;globus pallidus;appendix;ciliary ganglion;trigeminal ganglion;cerebellum;</t>
  </si>
  <si>
    <t xml:space="preserve">ASPHD1</t>
  </si>
  <si>
    <t xml:space="preserve">unclassifiable (Anatomical System);uterus;pancreas;cartilage;islets of Langerhans;bone;visual apparatus;colon;kidney;brain;mammary gland;stomach;</t>
  </si>
  <si>
    <t xml:space="preserve">amygdala;whole brain;superior cervical ganglion;spinal cord;prefrontal cortex;globus pallidus;pons;skeletal muscle;</t>
  </si>
  <si>
    <t xml:space="preserve">ATP10B</t>
  </si>
  <si>
    <t xml:space="preserve">TISSUE SPECIFICITY: Found in brain and in low levels in testis.; </t>
  </si>
  <si>
    <t xml:space="preserve">unclassifiable (Anatomical System);spinal cord;colon;choroid;fovea centralis;lens;skeletal muscle;retina;uterus;optic nerve;lung;placenta;macula lutea;brain;</t>
  </si>
  <si>
    <t xml:space="preserve">dorsal root ganglion;superior cervical ganglion;globus pallidus;pons;atrioventricular node;trigeminal ganglion;</t>
  </si>
  <si>
    <t xml:space="preserve">ATP13A4-AS1</t>
  </si>
  <si>
    <t xml:space="preserve">ATP13A4 antisense RNA 1</t>
  </si>
  <si>
    <t xml:space="preserve">ATP2B1</t>
  </si>
  <si>
    <t xml:space="preserve">TISSUE SPECIFICITY: Isoform B is ubiquitously expressed. Isoform C is found in brain cortex, skeletal muscle and heart muscle. Isoform D has only been found in fetal skeletal muscle. Isoform K has been found in small intestine and liver.; </t>
  </si>
  <si>
    <t xml:space="preserve">ovary;skin;bone marrow;retina;prostate;frontal lobe;cochlea;endometrium;thyroid;amniotic fluid;germinal center;brain;amygdala;heart;cartilage;tongue;urinary;adrenal cortex;skeletal muscle;breast;macula lutea;liver;alveolus;spleen;mammary gland;developmental;colon;parathyroid;fovea centralis;uterus;whole body;larynx;bone;testis;artery;unclassifiable (Anatomical System);lymph node;small intestine;islets of Langerhans;hypothalamus;bile duct;pancreas;lung;adrenal gland;nasopharynx;placenta;hippocampus;duodenum;head and neck;kidney;stomach;aorta;thymus;</t>
  </si>
  <si>
    <t xml:space="preserve">whole brain;amygdala;superior cervical ganglion;medulla oblongata;thalamus;occipital lobe;temporal lobe;caudate nucleus;pons;subthalamic nucleus;fetal brain;prefrontal cortex;globus pallidus;trigeminal ganglion;cingulate cortex;parietal lobe;</t>
  </si>
  <si>
    <t xml:space="preserve">ATRIP</t>
  </si>
  <si>
    <t xml:space="preserve">0.00148697990787471</t>
  </si>
  <si>
    <t xml:space="preserve">ATR interacting protein</t>
  </si>
  <si>
    <t xml:space="preserve">FUNCTION: Required for checkpoint signaling after DNA damage. Required for ATR expression, possibly by stabilizing the protein. {ECO:0000269|PubMed:12791985}.; </t>
  </si>
  <si>
    <t xml:space="preserve">TISSUE SPECIFICITY: Ubiquitous. {ECO:0000269|PubMed:11721054}.; </t>
  </si>
  <si>
    <t xml:space="preserve">unclassifiable (Anatomical System);lymph node;cartilage;heart;ovary;colon;choroid;skin;uterus;lung;endometrium;placenta;iris;liver;testis;spleen;brain;mammary gland;stomach;</t>
  </si>
  <si>
    <t xml:space="preserve">ATXN7L3</t>
  </si>
  <si>
    <t xml:space="preserve">AZIN2</t>
  </si>
  <si>
    <t xml:space="preserve">TISSUE SPECIFICITY: Expressed in the neocortex, thalamus, hippocampus, cerebellum, medulla oblongata, gray and white matter. Expressed in neurons, oligodendrocytes, basket, Purkinje and pyramidal cells. Expressed in spermatocytes and Leydig cells of the testis. Expressed in luteal theca cells lining corpus luteum cysts and in hilus cells of the ovary. Expressed in primary and neoplastic mast cells (MC) (at protein level). Highly expressed in brain. Also expressed in testis. {ECO:0000269|PubMed:11587527, ECO:0000269|PubMed:14738999, ECO:0000269|PubMed:19718454, ECO:0000269|PubMed:19756694, ECO:0000269|PubMed:19832840}.; </t>
  </si>
  <si>
    <t xml:space="preserve">BCLAF1</t>
  </si>
  <si>
    <t xml:space="preserve">smooth muscle;ovary;sympathetic chain;skin;bone marrow;retina;prostate;optic nerve;frontal lobe;cochlea;endometrium;thyroid;germinal center;brain;gall bladder;amygdala;cartilage;heart;tongue;adrenal cortex;pharynx;blood;lens;skeletal muscle;breast;visual apparatus;macula lutea;liver;cervix;mammary gland;salivary gland;intestine;colon;parathyroid;choroid;fovea centralis;uterus;whole body;larynx;bone;pituitary gland;testis;dura mater;pineal gland;spinal ganglion;unclassifiable (Anatomical System);meninges;lymph node;small intestine;islets of Langerhans;bile duct;pancreas;pia mater;lung;cornea;adrenal gland;nasopharynx;placenta;amnion;hypopharynx;duodenum;head and neck;kidney;stomach;aorta;thymus;</t>
  </si>
  <si>
    <t xml:space="preserve">dorsal root ganglion;occipital lobe;superior cervical ganglion;subthalamic nucleus;smooth muscle;prefrontal cortex;globus pallidus;white blood cells;atrioventricular node;trigeminal ganglion;</t>
  </si>
  <si>
    <t xml:space="preserve">BCOR</t>
  </si>
  <si>
    <t xml:space="preserve">TISSUE SPECIFICITY: Ubiquitously expressed. {ECO:0000269|PubMed:10898795}.; </t>
  </si>
  <si>
    <t xml:space="preserve">smooth muscle;colon;retina;bone marrow;uterus;prostate;whole body;cochlea;endometrium;larynx;testis;germinal center;unclassifiable (Anatomical System);lymph node;cartilage;tongue;islets of Langerhans;skeletal muscle;breast;pancreas;lung;placenta;visual apparatus;liver;head and neck;cervix;kidney;mammary gland;stomach;thymus;</t>
  </si>
  <si>
    <t xml:space="preserve">dorsal root ganglion;superior cervical ganglion;globus pallidus;atrioventricular node;trigeminal ganglion;skeletal muscle;</t>
  </si>
  <si>
    <t xml:space="preserve">BCYRN1</t>
  </si>
  <si>
    <t xml:space="preserve">brain cytoplasmic RNA 1</t>
  </si>
  <si>
    <t xml:space="preserve">BPI</t>
  </si>
  <si>
    <t xml:space="preserve">TISSUE SPECIFICITY: Restricted to cells of the myeloid series.; </t>
  </si>
  <si>
    <t xml:space="preserve">unclassifiable (Anatomical System);ovary;bone;liver;testis;blood;kidney;brain;bone marrow;</t>
  </si>
  <si>
    <t xml:space="preserve">testis - interstitial;testis;trigeminal ganglion;bone marrow;</t>
  </si>
  <si>
    <t xml:space="preserve">BRSK2</t>
  </si>
  <si>
    <t xml:space="preserve">TISSUE SPECIFICITY: Detected in pancreas islets (at protein level). {ECO:0000269|PubMed:22798068}.; </t>
  </si>
  <si>
    <t xml:space="preserve">unclassifiable (Anatomical System);medulla oblongata;optic nerve;ovary;epididymis;macula lutea;visual apparatus;liver;fovea centralis;choroid;lens;brain;retina;</t>
  </si>
  <si>
    <t xml:space="preserve">whole brain;amygdala;cerebellum peduncles;prefrontal cortex;parietal lobe;cerebellum;</t>
  </si>
  <si>
    <t xml:space="preserve">C10orf142</t>
  </si>
  <si>
    <t xml:space="preserve">C10orf55</t>
  </si>
  <si>
    <t xml:space="preserve">0.00506563580969443</t>
  </si>
  <si>
    <t xml:space="preserve">chromosome 10 open reading frame 55</t>
  </si>
  <si>
    <t xml:space="preserve">C1orf112</t>
  </si>
  <si>
    <t xml:space="preserve">unclassifiable (Anatomical System);smooth muscle;cartilage;ovary;heart;colon;parathyroid;blood;skin;bone marrow;uterus;bile duct;lung;cerebral cortex;oesophagus;placenta;liver;testis;cervix;germinal center;kidney;brain;aorta;</t>
  </si>
  <si>
    <t xml:space="preserve">superior cervical ganglion;testis - interstitial;testis;atrioventricular node;skin;</t>
  </si>
  <si>
    <t xml:space="preserve">C1orf54</t>
  </si>
  <si>
    <t xml:space="preserve">C3orf67-AS1</t>
  </si>
  <si>
    <t xml:space="preserve">C4orf22</t>
  </si>
  <si>
    <t xml:space="preserve">unclassifiable (Anatomical System);lung;ovary;placenta;testis;parathyroid;</t>
  </si>
  <si>
    <t xml:space="preserve">superior cervical ganglion;subthalamic nucleus;testis - interstitial;testis - seminiferous tubule;testis;globus pallidus;ciliary ganglion;pons;atrioventricular node;trigeminal ganglion;skeletal muscle;</t>
  </si>
  <si>
    <t xml:space="preserve">C4orf50</t>
  </si>
  <si>
    <t xml:space="preserve">frontal lobe;kidney;brain;</t>
  </si>
  <si>
    <t xml:space="preserve">C9orf50</t>
  </si>
  <si>
    <t xml:space="preserve">7.27866245193078e-10</t>
  </si>
  <si>
    <t xml:space="preserve">chromosome 9 open reading frame 50</t>
  </si>
  <si>
    <t xml:space="preserve">CACNB1</t>
  </si>
  <si>
    <t xml:space="preserve">TISSUE SPECIFICITY: Isoform 1 and isoform 3 are expressed in brain, heart, spleen, central nervous system and neuroblastoma cells. Isoform 2 is expressed in skeletal muscle. {ECO:0000269|PubMed:8107964}.; </t>
  </si>
  <si>
    <t xml:space="preserve">unclassifiable (Anatomical System);prostate;lung;heart;hippocampus;muscle;liver;spleen;brain;skeletal muscle;</t>
  </si>
  <si>
    <t xml:space="preserve">amygdala;superior cervical ganglion;medulla oblongata;tongue;prefrontal cortex;globus pallidus;pons;atrioventricular node;trigeminal ganglion;parietal lobe;skeletal muscle;cingulate cortex;</t>
  </si>
  <si>
    <t xml:space="preserve">CADM1</t>
  </si>
  <si>
    <t xml:space="preserve">ovary;developmental;parathyroid;fovea centralis;choroid;skin;retina;prostate;optic nerve;whole body;frontal lobe;cochlea;endometrium;thyroid;bone;pituitary gland;testis;germinal center;spinal ganglion;brain;unclassifiable (Anatomical System);amygdala;heart;cartilage;cerebellum cortex;nervous;islets of Langerhans;hypothalamus;pineal body;adrenal cortex;lens;skeletal muscle;pancreas;lung;nasopharynx;placenta;macula lutea;visual apparatus;liver;spleen;kidney;mammary gland;aorta;peripheral nerve;cerebellum;</t>
  </si>
  <si>
    <t xml:space="preserve">dorsal root ganglion;amygdala;superior cervical ganglion;occipital lobe;cerebellum peduncles;atrioventricular node;pons;skeletal muscle;subthalamic nucleus;prefrontal cortex;testis;ciliary ganglion;trigeminal ganglion;cingulate cortex;cerebellum;</t>
  </si>
  <si>
    <t xml:space="preserve">CASC1</t>
  </si>
  <si>
    <t xml:space="preserve">unclassifiable (Anatomical System);lymph node;ovary;heart;salivary gland;intestine;colon;pharynx;blood;skin;breast;prostate;lung;endometrium;visual apparatus;liver;testis;head and neck;spleen;kidney;germinal center;brain;bladder;</t>
  </si>
  <si>
    <t xml:space="preserve">testis - interstitial;superior cervical ganglion;testis - seminiferous tubule;testis;ciliary ganglion;skin;</t>
  </si>
  <si>
    <t xml:space="preserve">CBWD1</t>
  </si>
  <si>
    <t xml:space="preserve">TISSUE SPECIFICITY: Ubiquitously expressed. Up-regulated in cultured astrocytes treated with dopamine. {ECO:0000269|PubMed:15233989}.; </t>
  </si>
  <si>
    <t xml:space="preserve">lymphoreticular;smooth muscle;ovary;skin;bone marrow;retina;prostate;optic nerve;cochlea;endometrium;gum;thyroid;germinal center;bladder;brain;heart;cartilage;urinary;pharynx;blood;lens;skeletal muscle;breast;macula lutea;visual apparatus;liver;spleen;cervix;mammary gland;salivary gland;intestine;colon;parathyroid;fovea centralis;choroid;vein;uterus;whole body;bone;testis;pineal gland;unclassifiable (Anatomical System);lymph node;islets of Langerhans;hypothalamus;bile duct;pancreas;lung;adrenal gland;nasopharynx;placenta;hippocampus;head and neck;kidney;stomach;aorta;thymus;</t>
  </si>
  <si>
    <t xml:space="preserve">CCDC15</t>
  </si>
  <si>
    <t xml:space="preserve">unclassifiable (Anatomical System);testis;brain;skeletal muscle;</t>
  </si>
  <si>
    <t xml:space="preserve">dorsal root ganglion;testis - interstitial;superior cervical ganglion;globus pallidus;atrioventricular node;trigeminal ganglion;skeletal muscle;</t>
  </si>
  <si>
    <t xml:space="preserve">CCDC80</t>
  </si>
  <si>
    <t xml:space="preserve">TISSUE SPECIFICITY: Expressed in dermal papilla and dermal fibroblasts (at protein level). Expressed in heart, thymus, placenta, pancreas, colon, epithelium, spleen and osteoblasts. {ECO:0000269|PubMed:15325258, ECO:0000269|PubMed:15563452, ECO:0000269|PubMed:15998583}.; </t>
  </si>
  <si>
    <t xml:space="preserve">myocardium;ovary;colon;parathyroid;fovea centralis;choroid;skin;retina;bone marrow;uterus;prostate;optic nerve;whole body;cochlea;cerebral cortex;endometrium;larynx;bone;thyroid;testis;spinal ganglion;brain;unclassifiable (Anatomical System);lymph node;cartilage;heart;tongue;islets of Langerhans;pineal body;lens;skeletal muscle;bile duct;breast;pancreas;lung;epididymis;trabecular meshwork;placenta;macula lutea;visual apparatus;liver;spleen;head and neck;kidney;mammary gland;stomach;peripheral nerve;</t>
  </si>
  <si>
    <t xml:space="preserve">uterus;superior cervical ganglion;smooth muscle;adipose tissue;heart;testis;ciliary ganglion;</t>
  </si>
  <si>
    <t xml:space="preserve">CCDC88B</t>
  </si>
  <si>
    <t xml:space="preserve">lymphoreticular;unclassifiable (Anatomical System);lymph node;ovary;colon;blood;skeletal muscle;bone marrow;uterus;pancreas;prostate;lung;bone;thyroid;placenta;iris;alveolus;testis;spleen;brain;</t>
  </si>
  <si>
    <t xml:space="preserve">white blood cells;ciliary ganglion;atrioventricular node;skeletal muscle;cerebellum;</t>
  </si>
  <si>
    <t xml:space="preserve">CCNC</t>
  </si>
  <si>
    <t xml:space="preserve">TISSUE SPECIFICITY: Highest levels in pancreas. High levels in heart, liver, skeletal muscle and kidney. Low levels in brain.; </t>
  </si>
  <si>
    <t xml:space="preserve">myocardium;ovary;colon;parathyroid;fovea centralis;skin;retina;bone marrow;uterus;prostate;whole body;endometrium;bone;testis;germinal center;brain;bladder;tonsil;gall bladder;unclassifiable (Anatomical System);trophoblast;lymph node;cartilage;heart;lacrimal gland;islets of Langerhans;adrenal cortex;blood;skeletal muscle;breast;bile duct;lung;placenta;macula lutea;visual apparatus;liver;spleen;cervix;kidney;mammary gland;stomach;</t>
  </si>
  <si>
    <t xml:space="preserve">superior cervical ganglion;trachea;thyroid;</t>
  </si>
  <si>
    <t xml:space="preserve">CDH13</t>
  </si>
  <si>
    <t xml:space="preserve">TISSUE SPECIFICITY: Highly expressed in heart. In the CNS, expressed in cerebral cortex, medulla, hippocampus, amygdala, thalamus and substantia nigra. No expression detected in cerebellum or spinal cord. {ECO:0000269|PubMed:10737605, ECO:0000269|PubMed:8673923}.; </t>
  </si>
  <si>
    <t xml:space="preserve">ovary;colon;parathyroid;skin;uterus;prostate;whole body;frontal lobe;endometrium;thyroid;bone;testis;spinal ganglion;artery;brain;unclassifiable (Anatomical System);heart;cartilage;lung;nasopharynx;placenta;liver;spleen;head and neck;kidney;aorta;</t>
  </si>
  <si>
    <t xml:space="preserve">dorsal root ganglion;superior cervical ganglion;occipital lobe;heart;ciliary ganglion;atrioventricular node;pons;trigeminal ganglion;skin;</t>
  </si>
  <si>
    <t xml:space="preserve">CDK11A</t>
  </si>
  <si>
    <t xml:space="preserve">5.23535259576534e-05</t>
  </si>
  <si>
    <t xml:space="preserve">cyclin-dependent kinase 11A</t>
  </si>
  <si>
    <t xml:space="preserve">FUNCTION: Appears to play multiple roles in cell cycle progression, cytokinesis and apoptosis. The p110 isoforms have been suggested to be involved in pre-mRNA splicing, potentially by phosphorylating the splicing protein SFRS7. The p58 isoform may act as a negative regulator of normal cell cycle progression. {ECO:0000269|PubMed:12501247, ECO:0000269|PubMed:12624090}.; </t>
  </si>
  <si>
    <t xml:space="preserve">TISSUE SPECIFICITY: Expressed ubiquitously. Some evidence of isoform-specific tissue distribution. {ECO:0000269|PubMed:8195233, ECO:0000269|PubMed:9750192}.; </t>
  </si>
  <si>
    <t xml:space="preserve">lymphoreticular;ovary;foreskin;colon;skin;retina;bone marrow;uterus;prostate;cerebral cortex;endometrium;larynx;bone;thyroid;testis;germinal center;brain;bladder;gall bladder;tonsil;unclassifiable (Anatomical System);lymph node;cartilage;heart;epidermis;tongue;islets of Langerhans;blood;skeletal muscle;breast;bile duct;pancreas;lung;epididymis;nasopharynx;placenta;visual apparatus;amnion;duodenum;liver;spleen;head and neck;cervix;kidney;mammary gland;stomach;thymus;</t>
  </si>
  <si>
    <t xml:space="preserve">superior cervical ganglion;testis - interstitial;testis - seminiferous tubule;heart;testis;white blood cells;trigeminal ganglion;skeletal muscle;parietal lobe;</t>
  </si>
  <si>
    <t xml:space="preserve">CDK11B</t>
  </si>
  <si>
    <t xml:space="preserve">0.72829443952872</t>
  </si>
  <si>
    <t xml:space="preserve">cyclin-dependent kinase 11B</t>
  </si>
  <si>
    <t xml:space="preserve">FUNCTION: Appears to play multiple roles in cell cycle progression, cytokinesis and apoptosis. The p110 isoforms have been suggested to be involved in pre-mRNA splicing, potentially by phosphorylating the splicing protein SFRS7. The p58 isoform may act as a negative regulator of normal cell cycle progression. {ECO:0000269|PubMed:12501247, ECO:0000269|PubMed:12624090, ECO:0000269|PubMed:2217177}.; </t>
  </si>
  <si>
    <t xml:space="preserve">lymphoreticular;ovary;foreskin;colon;skin;bone marrow;uterus;cerebral cortex;endometrium;larynx;bone;thyroid;testis;germinal center;bladder;brain;tonsil;gall bladder;unclassifiable (Anatomical System);lymph node;cartilage;heart;epidermis;islets of Langerhans;blood;skeletal muscle;breast;pancreas;lung;epididymis;nasopharynx;placenta;amnion;duodenum;liver;cervix;spleen;head and neck;kidney;mammary gland;stomach;thymus;</t>
  </si>
  <si>
    <t xml:space="preserve">CELA3A</t>
  </si>
  <si>
    <t xml:space="preserve">unclassifiable (Anatomical System);prostate;pancreas;lung;islets of Langerhans;liver;spleen;skin;</t>
  </si>
  <si>
    <t xml:space="preserve">superior cervical ganglion;pancreas;beta cell islets;atrioventricular node;trigeminal ganglion;skeletal muscle;</t>
  </si>
  <si>
    <t xml:space="preserve">CEP162</t>
  </si>
  <si>
    <t xml:space="preserve">CFAP221</t>
  </si>
  <si>
    <t xml:space="preserve">TISSUE SPECIFICITY: Expressed in ciliated respiratory epithelial cells and brain ependymal cells (at protein level). {ECO:0000269|PubMed:18039845}.; </t>
  </si>
  <si>
    <t xml:space="preserve">CHI3L2</t>
  </si>
  <si>
    <t xml:space="preserve">TISSUE SPECIFICITY: Highest expression in chondrocytes, followed by synoviocytes, lung and heart. Not detected in spleen, pancreas, and liver. May also be expressed in developing brain and placenta. {ECO:0000269|PubMed:8702629}.; </t>
  </si>
  <si>
    <t xml:space="preserve">CLDN15</t>
  </si>
  <si>
    <t xml:space="preserve">TISSUE SPECIFICITY: Detected in colon (at protein level). {ECO:0000269|PubMed:12055082}.; </t>
  </si>
  <si>
    <t xml:space="preserve">colon;choroid;fovea centralis;bone marrow;retina;optic nerve;endometrium;larynx;bone;testis;germinal center;brain;unclassifiable (Anatomical System);lymph node;cartilage;blood;lens;lung;placenta;macula lutea;liver;spleen;head and neck;kidney;stomach;thymus;</t>
  </si>
  <si>
    <t xml:space="preserve">liver;trigeminal ganglion;</t>
  </si>
  <si>
    <t xml:space="preserve">CLEC17A</t>
  </si>
  <si>
    <t xml:space="preserve">TISSUE SPECIFICITY: Expressed on dividing B-cells of germinal centers in various tissues, including lymph nodes, tonsils, stomach, intestine, appendix and spleen. {ECO:0000269|PubMed:19419970}.; </t>
  </si>
  <si>
    <t xml:space="preserve">unclassifiable (Anatomical System);uterus;blood;</t>
  </si>
  <si>
    <t xml:space="preserve">CLPX</t>
  </si>
  <si>
    <t xml:space="preserve">TISSUE SPECIFICITY: Higher expression in skeletal muscle and heart and to a lesser extent in liver, brain, placenta, lung, kidney and pancreas. {ECO:0000269|PubMed:11003706}.; </t>
  </si>
  <si>
    <t xml:space="preserve">ovary;salivary gland;intestine;colon;parathyroid;skin;bone marrow;uterus;prostate;whole body;cerebral cortex;bone;thyroid;testis;germinal center;brain;artery;bladder;unclassifiable (Anatomical System);cartilage;heart;pineal body;pharynx;blood;skeletal muscle;breast;lung;placenta;visual apparatus;liver;spleen;head and neck;kidney;aorta;stomach;peripheral nerve;thymus;</t>
  </si>
  <si>
    <t xml:space="preserve">superior cervical ganglion;testis - interstitial;globus pallidus;parietal lobe;skeletal muscle;</t>
  </si>
  <si>
    <t xml:space="preserve">CNBD2</t>
  </si>
  <si>
    <t xml:space="preserve">COPS7B</t>
  </si>
  <si>
    <t xml:space="preserve">ovary;developmental;colon;parathyroid;skin;retina;bone marrow;uterus;prostate;whole body;bone;thyroid;testis;brain;bladder;unclassifiable (Anatomical System);cartilage;nervous;islets of Langerhans;muscle;blood;lens;skeletal muscle;breast;pancreas;lung;epididymis;placenta;visual apparatus;hippocampus;liver;spleen;cervix;kidney;stomach;thymus;</t>
  </si>
  <si>
    <t xml:space="preserve">CORO7</t>
  </si>
  <si>
    <t xml:space="preserve">7.31151184071541e-12</t>
  </si>
  <si>
    <t xml:space="preserve">coronin 7</t>
  </si>
  <si>
    <t xml:space="preserve">FUNCTION: F-actin regulator involved in anterograde Golgi to endosome transport: upon ubiquitination via 'Lys-33'-linked ubiquitin chains by the BCR(KLHL20) E3 ubiquitin ligase complex, interacts with EPS15 and localizes to the trans-Golgi network, where it promotes actin polymerization, thereby facilitating post- Golgi trafficking. May play a role in the maintenance of the Golgi apparatus morphology. {ECO:0000269|PubMed:16905771, ECO:0000269|PubMed:24768539}.; </t>
  </si>
  <si>
    <t xml:space="preserve">TISSUE SPECIFICITY: Widely expressed. Expressed in the spleen, peripheral leukocytes, testes, brain, thymus and small intestine. {ECO:0000269|PubMed:21130766}.; </t>
  </si>
  <si>
    <t xml:space="preserve">lymphoreticular;ovary;salivary gland;colon;skin;bone marrow;prostate;optic nerve;frontal lobe;endometrium;testis;brain;unclassifiable (Anatomical System);lymph node;heart;islets of Langerhans;hypothalamus;muscle;blood;skeletal muscle;pancreas;lung;placenta;visual apparatus;hippocampus;spleen;kidney;</t>
  </si>
  <si>
    <t xml:space="preserve">adrenal cortex;white blood cells;ciliary ganglion;caudate nucleus;whole blood;</t>
  </si>
  <si>
    <t xml:space="preserve">CORO7-PAM16</t>
  </si>
  <si>
    <t xml:space="preserve">1.62821439778502e-12</t>
  </si>
  <si>
    <t xml:space="preserve">CORO7-PAM16 readthrough</t>
  </si>
  <si>
    <t xml:space="preserve">CRIPAK</t>
  </si>
  <si>
    <t xml:space="preserve">TISSUE SPECIFICITY: Widely expressed with a highest expression observed in trachea, prostate and adrenal glands. Expressed in many cancer cell lines including breast cancer cells. {ECO:0000269|PubMed:16278681}.; </t>
  </si>
  <si>
    <t xml:space="preserve">heart;ovary;blood;skin;uterus;pancreas;lung;endometrium;bone;visual apparatus;liver;pituitary gland;testis;spleen;brain;stomach;</t>
  </si>
  <si>
    <t xml:space="preserve">CRYZ</t>
  </si>
  <si>
    <t xml:space="preserve">TISSUE SPECIFICITY: Only very low amounts in the lens.; </t>
  </si>
  <si>
    <t xml:space="preserve">smooth muscle;ovary;salivary gland;intestine;colon;parathyroid;vein;skin;retina;bone marrow;uterus;prostate;whole body;endometrium;bone;thyroid;pituitary gland;testis;germinal center;brain;pineal gland;bladder;gall bladder;unclassifiable (Anatomical System);lymph node;cartilage;heart;small intestine;islets of Langerhans;hypothalamus;adrenal cortex;pharynx;blood;breast;lung;adrenal gland;nasopharynx;placenta;visual apparatus;liver;cervix;spleen;kidney;stomach;</t>
  </si>
  <si>
    <t xml:space="preserve">CS</t>
  </si>
  <si>
    <t xml:space="preserve">myocardium;ovary;colon;fovea centralis;choroid;vein;skin;retina;bone marrow;uterus;prostate;whole body;endometrium;larynx;bone;pituitary gland;testis;germinal center;brain;pineal gland;tonsil;unclassifiable (Anatomical System);trophoblast;lymph node;heart;lacrimal gland;islets of Langerhans;pineal body;muscle;blood;breast;pancreas;lung;placenta;macula lutea;visual apparatus;hypopharynx;liver;cervix;head and neck;spleen;kidney;mammary gland;aorta;stomach;</t>
  </si>
  <si>
    <t xml:space="preserve">thalamus;subthalamic nucleus;occipital lobe;adipose tissue;heart;adrenal gland;cerebellum peduncles;prefrontal cortex;parietal lobe;cingulate cortex;skeletal muscle;cerebellum;</t>
  </si>
  <si>
    <t xml:space="preserve">CSNK1G1</t>
  </si>
  <si>
    <t xml:space="preserve">unclassifiable (Anatomical System);lymphoreticular;medulla oblongata;cartilage;heart;colon;blood;skin;breast;uterus;prostate;lung;endometrium;thyroid;placenta;liver;testis;spleen;cervix;germinal center;brain;mammary gland;</t>
  </si>
  <si>
    <t xml:space="preserve">superior cervical ganglion;subthalamic nucleus;testis - interstitial;testis - seminiferous tubule;testis;ciliary ganglion;atrioventricular node;trigeminal ganglion;cingulate cortex;skeletal muscle;</t>
  </si>
  <si>
    <t xml:space="preserve">CTBP2</t>
  </si>
  <si>
    <t xml:space="preserve">TISSUE SPECIFICITY: Ubiquitous. Highest levels in heart, skeletal muscle, and pancreas.; </t>
  </si>
  <si>
    <t xml:space="preserve">ovary;skin;retina;bone marrow;prostate;optic nerve;endometrium;thyroid;germinal center;bladder;brain;heart;cartilage;tongue;adrenal cortex;pharynx;blood;lens;breast;trabecular meshwork;macula lutea;visual apparatus;liver;spleen;cervix;mammary gland;salivary gland;intestine;colon;parathyroid;fovea centralis;choroid;vein;uterus;whole body;oesophagus;cerebral cortex;larynx;synovium;bone;testis;unclassifiable (Anatomical System);lacrimal gland;islets of Langerhans;hypothalamus;muscle;pancreas;lung;adrenal gland;placenta;head and neck;kidney;stomach;cerebellum;</t>
  </si>
  <si>
    <t xml:space="preserve">superior cervical ganglion;ciliary ganglion;trigeminal ganglion;skeletal muscle;</t>
  </si>
  <si>
    <t xml:space="preserve">CTDSP2</t>
  </si>
  <si>
    <t xml:space="preserve">TISSUE SPECIFICITY: Expression is restricted to non-neuronal tissues. Highest expression in pancreas and lowest in liver. {ECO:0000269|PubMed:15681389}.; </t>
  </si>
  <si>
    <t xml:space="preserve">CTRC</t>
  </si>
  <si>
    <t xml:space="preserve">TISSUE SPECIFICITY: Pancreas.; </t>
  </si>
  <si>
    <t xml:space="preserve">DARS</t>
  </si>
  <si>
    <t xml:space="preserve">TISSUE SPECIFICITY: Expression in the developing and adult brain shows similar patterns. Highly expressed in the ventricular and subventricular zones, including hippocampal subfields, the midlateral temporaal cortex and the frontal polar cortex. The cerebellum, cereral cortex, hippocampus, and lateral ventricle show preferential neuronal expression. Expression in the peripheral neurons is evident in the colon. {ECO:0000269|PubMed:23643384}.; </t>
  </si>
  <si>
    <t xml:space="preserve">ovary;skin;retina;bone marrow;prostate;optic nerve;ganglion;endometrium;gum;thyroid;germinal center;bladder;brain;tonsil;heart;cartilage;adrenal cortex;pharynx;blood;lens;breast;macula lutea;visual apparatus;liver;alveolus;spleen;cervix;mammary gland;peripheral nerve;salivary gland;intestine;colon;parathyroid;fovea centralis;choroid;vein;uterus;oesophagus;larynx;bone;testis;spinal ganglion;pineal gland;unclassifiable (Anatomical System);lymph node;islets of Langerhans;hypothalamus;muscle;bile duct;pancreas;lung;adrenal gland;nasopharynx;placenta;hippocampus;head and neck;kidney;stomach;aorta;thymus;</t>
  </si>
  <si>
    <t xml:space="preserve">amygdala;thyroid;</t>
  </si>
  <si>
    <t xml:space="preserve">DCAF6</t>
  </si>
  <si>
    <t xml:space="preserve">TISSUE SPECIFICITY: Highly expressed in skeletal muscle and testis. Expressed to a lesser degree in heart, prostate, and adrenal gland. {ECO:0000269|PubMed:15784617}.; </t>
  </si>
  <si>
    <t xml:space="preserve">myocardium;smooth muscle;ovary;sympathetic chain;skin;retina;bone marrow;prostate;optic nerve;endometrium;thyroid;iris;amniotic fluid;germinal center;brain;gall bladder;tonsil;heart;cartilage;blood;lens;skeletal muscle;breast;macula lutea;liver;alveolus;spleen;cervix;mammary gland;peripheral nerve;colon;parathyroid;fovea centralis;choroid;uterus;whole body;cerebral cortex;larynx;bone;pituitary gland;testis;unclassifiable (Anatomical System);lymph node;islets of Langerhans;muscle;bile duct;pancreas;lung;adrenal gland;nasopharynx;placenta;hypopharynx;head and neck;kidney;stomach;</t>
  </si>
  <si>
    <t xml:space="preserve">amygdala;occipital lobe;testis - interstitial;testis - seminiferous tubule;globus pallidus;testis;cingulate cortex;skeletal muscle;</t>
  </si>
  <si>
    <t xml:space="preserve">DIP2A</t>
  </si>
  <si>
    <t xml:space="preserve">TISSUE SPECIFICITY: Low expression in all tissues tested.; </t>
  </si>
  <si>
    <t xml:space="preserve">smooth muscle;sympathetic chain;colon;retina;bone marrow;uterus;prostate;optic nerve;frontal lobe;endometrium;thyroid;testis;brain;unclassifiable (Anatomical System);cartilage;islets of Langerhans;oral cavity;blood;skeletal muscle;breast;pancreas;lung;placenta;visual apparatus;liver;spleen;head and neck;mammary gland;stomach;</t>
  </si>
  <si>
    <t xml:space="preserve">dorsal root ganglion;subthalamic nucleus;superior cervical ganglion;adrenal cortex;globus pallidus;ciliary ganglion;atrioventricular node;trigeminal ganglion;</t>
  </si>
  <si>
    <t xml:space="preserve">DNAH14</t>
  </si>
  <si>
    <t xml:space="preserve">unclassifiable (Anatomical System);uterus;testis;colon;brain;skeletal muscle;</t>
  </si>
  <si>
    <t xml:space="preserve">dorsal root ganglion;testis - interstitial;superior cervical ganglion;globus pallidus;testis;ciliary ganglion;atrioventricular node;trigeminal ganglion;skeletal muscle;</t>
  </si>
  <si>
    <t xml:space="preserve">DNAJC10</t>
  </si>
  <si>
    <t xml:space="preserve">medulla oblongata;smooth muscle;ovary;colon;parathyroid;fovea centralis;choroid;vein;skin;retina;bone marrow;uterus;prostate;optic nerve;whole body;frontal lobe;cochlea;endometrium;bone;thyroid;iris;pituitary gland;testis;germinal center;brain;unclassifiable (Anatomical System);lymph node;cartilage;heart;islets of Langerhans;hypothalamus;lens;skeletal muscle;breast;pancreas;lung;nasopharynx;trabecular meshwork;placenta;macula lutea;liver;kidney;mammary gland;stomach;</t>
  </si>
  <si>
    <t xml:space="preserve">testis - interstitial;smooth muscle;testis - seminiferous tubule;testis;white blood cells;</t>
  </si>
  <si>
    <t xml:space="preserve">DPP9</t>
  </si>
  <si>
    <t xml:space="preserve">TISSUE SPECIFICITY: Ubiquitously expressed, with highest levels in liver, heart and muscle, and lowest levels in brain. {ECO:0000269|PubMed:12459266, ECO:0000269|PubMed:12662155, ECO:0000269|PubMed:15245913}.; </t>
  </si>
  <si>
    <t xml:space="preserve">ovary;salivary gland;intestine;colon;parathyroid;skin;bone marrow;uterus;prostate;endometrium;bone;thyroid;pituitary gland;testis;germinal center;brain;unclassifiable (Anatomical System);lymph node;heart;muscle;adrenal cortex;pharynx;blood;skeletal muscle;breast;pancreas;lung;cornea;placenta;visual apparatus;duodenum;liver;spleen;cervix;kidney;mammary gland;stomach;aorta;</t>
  </si>
  <si>
    <t xml:space="preserve">superior cervical ganglion;atrioventricular node;trigeminal ganglion;</t>
  </si>
  <si>
    <t xml:space="preserve">DROSHA</t>
  </si>
  <si>
    <t xml:space="preserve">TISSUE SPECIFICITY: Ubiquitous. {ECO:0000269|PubMed:10948199}.; </t>
  </si>
  <si>
    <t xml:space="preserve">lymphoreticular;ovary;colon;skin;retina;bone marrow;uterus;prostate;whole body;frontal lobe;cochlea;endometrium;larynx;bone;thyroid;testis;germinal center;brain;bladder;unclassifiable (Anatomical System);lymph node;heart;islets of Langerhans;pineal body;urinary;blood;skeletal muscle;breast;lung;adrenal gland;nasopharynx;placenta;visual apparatus;liver;spleen;head and neck;cervix;kidney;mammary gland;stomach;</t>
  </si>
  <si>
    <t xml:space="preserve">superior cervical ganglion;ciliary ganglion;atrioventricular node;trigeminal ganglion;skeletal muscle;</t>
  </si>
  <si>
    <t xml:space="preserve">DYX1C1-CCPG1</t>
  </si>
  <si>
    <t xml:space="preserve">DYX1C1-CCPG1 readthrough (NMD candidate)</t>
  </si>
  <si>
    <t xml:space="preserve">unclassifiable (Anatomical System);bile duct;pancreas;lung;bone;testis;kidney;brain;skin;stomach;</t>
  </si>
  <si>
    <t xml:space="preserve">ELMOD3</t>
  </si>
  <si>
    <t xml:space="preserve">TISSUE SPECIFICITY: Both isoform 1 and isoform 6 are widely expressed. {ECO:0000269|PubMed:24039609}.; </t>
  </si>
  <si>
    <t xml:space="preserve">ovary;colon;parathyroid;fovea centralis;choroid;skin;retina;bone marrow;uterus;prostate;optic nerve;frontal lobe;endometrium;bone;testis;germinal center;brain;artery;unclassifiable (Anatomical System);lymph node;heart;cartilage;muscle;blood;lens;skeletal muscle;lung;placenta;macula lutea;visual apparatus;hippocampus;liver;spleen;cervix;kidney;mammary gland;stomach;aorta;</t>
  </si>
  <si>
    <t xml:space="preserve">EPHB1</t>
  </si>
  <si>
    <t xml:space="preserve">TISSUE SPECIFICITY: Preferentially expressed in brain.; </t>
  </si>
  <si>
    <t xml:space="preserve">EPHB4</t>
  </si>
  <si>
    <t xml:space="preserve">TISSUE SPECIFICITY: Abundantly expressed in placenta but also detected in kidney, liver, lung, pancreas, skeletal muscle and heart. Expressed in primitive and myeloid, but not lymphoid, hematopoietic cells. Also observed in cell lines derived from liver, breast, colon, lung, melanocyte and cervix. {ECO:0000269|PubMed:8188704}.; </t>
  </si>
  <si>
    <t xml:space="preserve">myocardium;ovary;colon;fovea centralis;choroid;skin;retina;uterus;prostate;optic nerve;endometrium;larynx;bone;thyroid;iris;testis;brain;unclassifiable (Anatomical System);cartilage;heart;islets of Langerhans;muscle;lens;skeletal muscle;breast;pancreas;lung;adrenal gland;placenta;macula lutea;duodenum;liver;hypopharynx;amnion;spleen;head and neck;cervix;kidney;mammary gland;stomach;aorta;</t>
  </si>
  <si>
    <t xml:space="preserve">subthalamic nucleus;superior cervical ganglion;adrenal gland;placenta;globus pallidus;atrioventricular node;pons;trigeminal ganglion;skeletal muscle;</t>
  </si>
  <si>
    <t xml:space="preserve">EPM2A</t>
  </si>
  <si>
    <t xml:space="preserve">unclassifiable (Anatomical System);cartilage;heart;ovary;colon;parathyroid;blood;fovea centralis;skin;skeletal muscle;retina;uterus;prostate;lung;endometrium;epididymis;placenta;macula lutea;pituitary gland;cervix;germinal center;kidney;brain;</t>
  </si>
  <si>
    <t xml:space="preserve">superior cervical ganglion;globus pallidus;atrioventricular node;trigeminal ganglion;skeletal muscle;</t>
  </si>
  <si>
    <t xml:space="preserve">ESD</t>
  </si>
  <si>
    <t xml:space="preserve">EXD3</t>
  </si>
  <si>
    <t xml:space="preserve">unclassifiable (Anatomical System);cartilage;islets of Langerhans;breast;pancreas;lung;cerebral cortex;endometrium;placenta;bone;liver;testis;spleen;brain;</t>
  </si>
  <si>
    <t xml:space="preserve">superior cervical ganglion;globus pallidus;ciliary ganglion;atrioventricular node;trigeminal ganglion;parietal lobe;skeletal muscle;</t>
  </si>
  <si>
    <t xml:space="preserve">EXOC7</t>
  </si>
  <si>
    <t xml:space="preserve">ovary;skin;bone marrow;retina;prostate;optic nerve;frontal lobe;endometrium;thyroid;iris;germinal center;bladder;brain;cartilage;heart;nervous;urinary;adrenal cortex;pharynx;blood;lens;breast;trabecular meshwork;visual apparatus;liver;cervix;spleen;mammary gland;salivary gland;colon;parathyroid;choroid;uterus;whole body;cerebral cortex;larynx;synovium;bone;testis;spinal ganglion;unclassifiable (Anatomical System);lymph node;lacrimal gland;islets of Langerhans;hypothalamus;muscle;pancreas;lung;nasopharynx;placenta;hippocampus;duodenum;head and neck;kidney;aorta;stomach;cerebellum;</t>
  </si>
  <si>
    <t xml:space="preserve">amygdala;whole brain;dorsal root ganglion;superior cervical ganglion;medulla oblongata;occipital lobe;atrioventricular node;caudate nucleus;placenta;prefrontal cortex;globus pallidus;ciliary ganglion;parietal lobe;cingulate cortex;cerebellum;</t>
  </si>
  <si>
    <t xml:space="preserve">FAM104B</t>
  </si>
  <si>
    <t xml:space="preserve">breast;prostate;bone;liver;spleen;kidney;skin;</t>
  </si>
  <si>
    <t xml:space="preserve">dorsal root ganglion;superior cervical ganglion;ciliary ganglion;trigeminal ganglion;</t>
  </si>
  <si>
    <t xml:space="preserve">FAM209A</t>
  </si>
  <si>
    <t xml:space="preserve">0.0316770454966637</t>
  </si>
  <si>
    <t xml:space="preserve">family with sequence similarity 209 member A</t>
  </si>
  <si>
    <t xml:space="preserve">FAM209B</t>
  </si>
  <si>
    <t xml:space="preserve">0.0297206395001582</t>
  </si>
  <si>
    <t xml:space="preserve">family with sequence similarity 209 member B</t>
  </si>
  <si>
    <t xml:space="preserve">FAM72A</t>
  </si>
  <si>
    <t xml:space="preserve">TISSUE SPECIFICITY: May be up-regulated in malignant colon cancers, compared to normal colon and colon adenomas. Expression is also elevated in other common cancer types, including breast, lung, uterus, and ovary. {ECO:0000269|PubMed:18676834}.; </t>
  </si>
  <si>
    <t xml:space="preserve">ovary;colon;skin;uterus;prostate;whole body;larynx;thyroid;bone;testis;germinal center;bladder;unclassifiable (Anatomical System);heart;cartilage;blood;skeletal muscle;breast;pancreas;lung;placenta;visual apparatus;duodenum;spleen;head and neck;mammary gland;stomach;</t>
  </si>
  <si>
    <t xml:space="preserve">FCER1A</t>
  </si>
  <si>
    <t xml:space="preserve">FER1L6-AS2</t>
  </si>
  <si>
    <t xml:space="preserve">FMNL2</t>
  </si>
  <si>
    <t xml:space="preserve">ovary;developmental;colon;parathyroid;fovea centralis;choroid;skin;retina;uterus;optic nerve;whole body;frontal lobe;cochlea;endometrium;larynx;thyroid;bone;testis;germinal center;brain;unclassifiable (Anatomical System);cartilage;heart;tongue;hypothalamus;adrenal cortex;lens;skeletal muscle;lung;adrenal gland;placenta;macula lutea;hippocampus;liver;spleen;head and neck;kidney;mammary gland;stomach;cerebellum;</t>
  </si>
  <si>
    <t xml:space="preserve">amygdala;occipital lobe;medulla oblongata;superior cervical ganglion;olfactory bulb;hypothalamus;spinal cord;pons;atrioventricular node;caudate nucleus;prefrontal cortex;ciliary ganglion;trigeminal ganglion;cingulate cortex;parietal lobe;</t>
  </si>
  <si>
    <t xml:space="preserve">FNDC3B</t>
  </si>
  <si>
    <t xml:space="preserve">TISSUE SPECIFICITY: Predominantly expressed in white adipose tissue (WAT) especially in the stromal vascular cells. Expressed in adipocyte differentiable 3T3-L1 cells but not in the non- adipogenic cell line NIH-3T3. Expression increased in the early stage of adipogenesis. {ECO:0000269|PubMed:15564382}.; </t>
  </si>
  <si>
    <t xml:space="preserve">myocardium;ovary;skin;bone marrow;retina;prostate;endometrium;cochlea;thyroid;amniotic fluid;germinal center;brain;gall bladder;heart;cartilage;adrenal cortex;blood;skeletal muscle;breast;visual apparatus;liver;spleen;cervix;mammary gland;developmental;colon;parathyroid;uterus;oesophagus;larynx;bone;testis;dura mater;spinal ganglion;artery;pineal gland;unclassifiable (Anatomical System);meninges;lymph node;islets of Langerhans;pancreas;lung;pia mater;adrenal gland;placenta;head and neck;kidney;stomach;aorta;thymus;</t>
  </si>
  <si>
    <t xml:space="preserve">placenta;trigeminal ganglion;</t>
  </si>
  <si>
    <t xml:space="preserve">GALNT10</t>
  </si>
  <si>
    <t xml:space="preserve">TISSUE SPECIFICITY: Widely expressed. Expressed at high level in small intestine, and at intermediate levels in stomach, pancreas, ovary, thyroid gland and spleen. Weakly expressed in other tissues. {ECO:0000269|PubMed:12417297}.; </t>
  </si>
  <si>
    <t xml:space="preserve">ovary;salivary gland;intestine;colon;parathyroid;fovea centralis;choroid;skin;retina;bone marrow;uterus;prostate;optic nerve;frontal lobe;larynx;thyroid;germinal center;brain;bladder;unclassifiable (Anatomical System);cartilage;heart;tongue;islets of Langerhans;pharynx;blood;lens;skeletal muscle;breast;pancreas;lung;adrenal gland;placenta;macula lutea;visual apparatus;liver;spleen;head and neck;kidney;mammary gland;stomach;</t>
  </si>
  <si>
    <t xml:space="preserve">superior cervical ganglion;thyroid;</t>
  </si>
  <si>
    <t xml:space="preserve">GALP</t>
  </si>
  <si>
    <t xml:space="preserve">TISSUE SPECIFICITY: Isoform 2 is found in ganglia of ganglioneuroma and ganglioneuroblastoma, as well as in differentiated tumor cells of neuroblastoma tissues. Not found in undifferentiated neuroblasts. Isoform 2 is found in the skin, in pericytes covering microvascular arterioles and venules on their abluminal surfaces. In larger vessels, isoform 2 is expressed in layers of smooth muscle cells. Isoform 2 is not detected in endothelial cells.; </t>
  </si>
  <si>
    <t xml:space="preserve">unclassifiable (Anatomical System);</t>
  </si>
  <si>
    <t xml:space="preserve">subthalamic nucleus;superior cervical ganglion;globus pallidus;ciliary ganglion;parietal lobe;skeletal muscle;</t>
  </si>
  <si>
    <t xml:space="preserve">GGA3</t>
  </si>
  <si>
    <t xml:space="preserve">TISSUE SPECIFICITY: Ubiquitously expressed.; </t>
  </si>
  <si>
    <t xml:space="preserve">ovary;salivary gland;sympathetic chain;intestine;colon;parathyroid;skin;retina;uterus;prostate;frontal lobe;cerebral cortex;endometrium;larynx;bone;thyroid;pituitary gland;testis;germinal center;brain;bladder;unclassifiable (Anatomical System);lymph node;cartilage;heart;tongue;islets of Langerhans;pharynx;blood;lens;skeletal muscle;breast;pancreas;lung;cornea;epididymis;placenta;hippocampus;visual apparatus;liver;spleen;head and neck;cervix;kidney;mammary gland;stomach;thymus;</t>
  </si>
  <si>
    <t xml:space="preserve">dorsal root ganglion;superior cervical ganglion;globus pallidus;ciliary ganglion;atrioventricular node;pons;trigeminal ganglion;parietal lobe;skeletal muscle;cerebellum;</t>
  </si>
  <si>
    <t xml:space="preserve">GGTLC2</t>
  </si>
  <si>
    <t xml:space="preserve">TISSUE SPECIFICITY: Placenta and sigmoid tissues.; </t>
  </si>
  <si>
    <t xml:space="preserve">GK5</t>
  </si>
  <si>
    <t xml:space="preserve">GPR152</t>
  </si>
  <si>
    <t xml:space="preserve">lung;liver;spleen;</t>
  </si>
  <si>
    <t xml:space="preserve">superior cervical ganglion;ciliary ganglion;atrioventricular node;</t>
  </si>
  <si>
    <t xml:space="preserve">GTPBP4</t>
  </si>
  <si>
    <t xml:space="preserve">ovary;salivary gland;intestine;colon;parathyroid;fovea centralis;skin;uterus;prostate;frontal lobe;cochlea;endometrium;larynx;bone;thyroid;testis;amniotic fluid;germinal center;brain;bladder;unclassifiable (Anatomical System);lymph node;cartilage;heart;hypothalamus;pharynx;blood;breast;bile duct;pancreas;lung;adrenal gland;nasopharynx;placenta;macula lutea;visual apparatus;liver;spleen;head and neck;cervix;kidney;stomach;</t>
  </si>
  <si>
    <t xml:space="preserve">superior cervical ganglion;testis;ciliary ganglion;skeletal muscle;</t>
  </si>
  <si>
    <t xml:space="preserve">HLA-DRB1</t>
  </si>
  <si>
    <t xml:space="preserve">ovary;salivary gland;sympathetic chain;intestine;colon;parathyroid;choroid;skin;retina;bone marrow;uterus;prostate;frontal lobe;endometrium;oesophagus;bone;thyroid;testis;germinal center;brain;bladder;unclassifiable (Anatomical System);lymph node;cartilage;tongue;hypothalamus;pharynx;blood;skeletal muscle;breast;pancreas;lung;adrenal gland;epididymis;nasopharynx;placenta;visual apparatus;hypopharynx;liver;spleen;head and neck;kidney;mammary gland;stomach;thymus;</t>
  </si>
  <si>
    <t xml:space="preserve">HSD17B12</t>
  </si>
  <si>
    <t xml:space="preserve">TISSUE SPECIFICITY: Expressed in most tissues tested. Highly expressed in the ovary and mammary. Expressed in platelets. {ECO:0000269|PubMed:12482854, ECO:0000269|PubMed:16113833, ECO:0000269|PubMed:16166196}.; </t>
  </si>
  <si>
    <t xml:space="preserve">ovary;skin;retina;prostate;optic nerve;frontal lobe;endometrium;gum;germinal center;bladder;brain;tonsil;heart;cartilage;pharynx;blood;lens;skeletal muscle;breast;trabecular meshwork;macula lutea;liver;alveolus;spleen;mammary gland;peripheral nerve;salivary gland;intestine;colon;parathyroid;fovea centralis;choroid;uterus;whole body;oesophagus;larynx;bone;pituitary gland;testis;artery;unclassifiable (Anatomical System);islets of Langerhans;hypothalamus;muscle;bile duct;pancreas;lung;mesenchyma;placenta;hippocampus;duodenum;head and neck;kidney;stomach;aorta;thymus;</t>
  </si>
  <si>
    <t xml:space="preserve">dorsal root ganglion;occipital lobe;adipose tissue;hypothalamus;spinal cord;parietal lobe;</t>
  </si>
  <si>
    <t xml:space="preserve">HTRA3</t>
  </si>
  <si>
    <t xml:space="preserve">TISSUE SPECIFICITY: Widely expressed, with highest levels in both adult and fetal heart, ovary, uterus placenta, and bladder. In the endometrium, expressed in epithelial glands and the stroma. Also present in leukocytes. Isoform 1 is predominant in heart and skeletal muscle, whereas isoform 2 is predominant in placenta and kidney. {ECO:0000269|PubMed:12513693, ECO:0000269|PubMed:16650464, ECO:0000269|PubMed:21321049}.; </t>
  </si>
  <si>
    <t xml:space="preserve">unclassifiable (Anatomical System);lymph node;cartilage;heart;ovary;colon;skin;skeletal muscle;uterus;pancreas;optic nerve;whole body;lung;placenta;testis;kidney;stomach;thymus;</t>
  </si>
  <si>
    <t xml:space="preserve">IARS</t>
  </si>
  <si>
    <t xml:space="preserve">IFI35</t>
  </si>
  <si>
    <t xml:space="preserve">TISSUE SPECIFICITY: In a wide range of cell types, including fibroblasts, macrophages, and epithelial cells.; </t>
  </si>
  <si>
    <t xml:space="preserve">ovary;colon;parathyroid;fovea centralis;choroid;skin;retina;bone marrow;uterus;prostate;optic nerve;whole body;oesophagus;endometrium;bone;testis;germinal center;brain;unclassifiable (Anatomical System);heart;cartilage;tongue;blood;lens;pancreas;lung;placenta;macula lutea;liver;head and neck;kidney;mammary gland;stomach;</t>
  </si>
  <si>
    <t xml:space="preserve">dorsal root ganglion;superior cervical ganglion;ciliary ganglion;</t>
  </si>
  <si>
    <t xml:space="preserve">IGSF3</t>
  </si>
  <si>
    <t xml:space="preserve">TISSUE SPECIFICITY: Expressed in a wide range of tissues with High expression in Placenta, kidney and lung. {ECO:0000269|PubMed:9790749}.; </t>
  </si>
  <si>
    <t xml:space="preserve">unclassifiable (Anatomical System);skeletal muscle;skin;retina;whole body;lung;placenta;thyroid;bone;hypopharynx;head and neck;kidney;brain;mammary gland;stomach;</t>
  </si>
  <si>
    <t xml:space="preserve">superior cervical ganglion;fetal brain;placenta;ciliary ganglion;skeletal muscle;</t>
  </si>
  <si>
    <t xml:space="preserve">INO80</t>
  </si>
  <si>
    <t xml:space="preserve">TISSUE SPECIFICITY: According to PubMed:10574462, widely expressed. According to PubMed:16298340, specifically expressed in brain, liver and pancreas. {ECO:0000269|PubMed:10574462, ECO:0000269|PubMed:16298340}.; </t>
  </si>
  <si>
    <t xml:space="preserve">ovary;colon;skin;bone marrow;uterus;prostate;optic nerve;frontal lobe;endometrium;larynx;thyroid;bone;testis;germinal center;brain;bladder;unclassifiable (Anatomical System);lymph node;cartilage;blood;skeletal muscle;breast;pancreas;lung;placenta;visual apparatus;liver;head and neck;cervix;kidney;mammary gland;stomach;</t>
  </si>
  <si>
    <t xml:space="preserve">dorsal root ganglion;superior cervical ganglion;globus pallidus;ciliary ganglion;atrioventricular node;trigeminal ganglion;skeletal muscle;cerebellum;</t>
  </si>
  <si>
    <t xml:space="preserve">INPP5F</t>
  </si>
  <si>
    <t xml:space="preserve">TISSUE SPECIFICITY: Ubiquitous. {ECO:0000269|PubMed:11274189}.; </t>
  </si>
  <si>
    <t xml:space="preserve">ovary;sympathetic chain;developmental;substantia nigra;fovea centralis;choroid;skin;retina;uterus;prostate;optic nerve;whole body;frontal lobe;cochlea;endometrium;larynx;thyroid;pituitary gland;testis;germinal center;brain;unclassifiable (Anatomical System);lymph node;heart;cerebellum cortex;nervous;islets of Langerhans;hypothalamus;spinal cord;blood;lens;skeletal muscle;lung;placenta;macula lutea;liver;spleen;head and neck;cervix;kidney;mammary gland;stomach;</t>
  </si>
  <si>
    <t xml:space="preserve">whole brain;amygdala;thalamus;occipital lobe;medulla oblongata;superior cervical ganglion;hypothalamus;temporal lobe;pons;caudate nucleus;subthalamic nucleus;prefrontal cortex;globus pallidus;cingulate cortex;parietal lobe;cerebellum;</t>
  </si>
  <si>
    <t xml:space="preserve">IRAK3</t>
  </si>
  <si>
    <t xml:space="preserve">TISSUE SPECIFICITY: Expressed predominantly in peripheral blood lymphocytes. {ECO:0000269|PubMed:10383454}.; </t>
  </si>
  <si>
    <t xml:space="preserve">lung;cartilage;endometrium;bone;placenta;testis;blood;brain;stomach;bone marrow;</t>
  </si>
  <si>
    <t xml:space="preserve">ITGB1BP1</t>
  </si>
  <si>
    <t xml:space="preserve">TISSUE SPECIFICITY: Expressed in endothelial cells and fibroblasts (at protein level). Ubiquitously expressed. Expressed in intestine, colon, testis, ovary, thymus, spleen and prostate. {ECO:0000269|PubMed:9281591, ECO:0000269|PubMed:9867804}.; </t>
  </si>
  <si>
    <t xml:space="preserve">ovary;salivary gland;developmental;intestine;colon;parathyroid;fovea centralis;choroid;skin;retina;uterus;prostate;optic nerve;whole body;endometrium;larynx;bone;iris;pituitary gland;testis;germinal center;brain;bladder;unclassifiable (Anatomical System);lymph node;cartilage;heart;cerebellum cortex;islets of Langerhans;hypothalamus;pharynx;blood;lens;skeletal muscle;bile duct;pancreas;lung;placenta;macula lutea;visual apparatus;alveolus;liver;kidney;mammary gland;aorta;stomach;</t>
  </si>
  <si>
    <t xml:space="preserve">dorsal root ganglion;whole brain;amygdala;medulla oblongata;superior cervical ganglion;occipital lobe;thalamus;temporal lobe;caudate nucleus;atrioventricular node;pons;subthalamic nucleus;ciliary ganglion;trigeminal ganglion;parietal lobe;cingulate cortex;</t>
  </si>
  <si>
    <t xml:space="preserve">KCTD9</t>
  </si>
  <si>
    <t xml:space="preserve">0.0733968308677995</t>
  </si>
  <si>
    <t xml:space="preserve">potassium channel tetramerization domain containing 9</t>
  </si>
  <si>
    <t xml:space="preserve">ovary;sympathetic chain;colon;parathyroid;skin;uterus;prostate;whole body;endometrium;testis;brain;artery;unclassifiable (Anatomical System);heart;cartilage;islets of Langerhans;hypothalamus;adrenal cortex;blood;skeletal muscle;breast;pancreas;lung;trabecular meshwork;placenta;visual apparatus;liver;hypopharynx;head and neck;cervix;stomach;aorta;</t>
  </si>
  <si>
    <t xml:space="preserve">KIF12</t>
  </si>
  <si>
    <t xml:space="preserve">TISSUE SPECIFICITY: Expressed in fetal liver, adult brain and pancreatic islet as well as in kidney tumors, uterus cancer and pancreatic cancer. {ECO:0000269|PubMed:15643526}.; </t>
  </si>
  <si>
    <t xml:space="preserve">unclassifiable (Anatomical System);ovary;islets of Langerhans;colon;blood;bone marrow;uterus;pancreas;prostate;optic nerve;endometrium;placenta;liver;amniotic fluid;spleen;kidney;brain;mammary gland;stomach;</t>
  </si>
  <si>
    <t xml:space="preserve">KIR2DL1</t>
  </si>
  <si>
    <t xml:space="preserve">0.184502116558515</t>
  </si>
  <si>
    <t xml:space="preserve">killer cell immunoglobulin like receptor, two Ig domains and long cytoplasmic tail 1</t>
  </si>
  <si>
    <t xml:space="preserve">FUNCTION: Receptor on natural killer (NK) cells for HLA-C alleles. Inhibits the activity of NK cells thus preventing cell lysis. {ECO:0000269|PubMed:18604210}.; </t>
  </si>
  <si>
    <t xml:space="preserve">breast;unclassifiable (Anatomical System);blood;</t>
  </si>
  <si>
    <t xml:space="preserve">superior cervical ganglion;ciliary ganglion;trigeminal ganglion;</t>
  </si>
  <si>
    <t xml:space="preserve">KIR2DL3</t>
  </si>
  <si>
    <t xml:space="preserve">0.0380264991528057</t>
  </si>
  <si>
    <t xml:space="preserve">killer cell immunoglobulin like receptor, two Ig domains and long cytoplasmic tail 3</t>
  </si>
  <si>
    <t xml:space="preserve">FUNCTION: Receptor on natural killer (NK) cells for HLA-C alleles (HLA-Cw1, HLA-Cw3 and HLA-Cw7). Inhibits the activity of NK cells thus preventing cell lysis.; </t>
  </si>
  <si>
    <t xml:space="preserve">KIR2DL4</t>
  </si>
  <si>
    <t xml:space="preserve">KMT2C</t>
  </si>
  <si>
    <t xml:space="preserve">TISSUE SPECIFICITY: Highly expressed in testis and ovary, followed by brain and liver. Also expressed in placenta, peripherical blood, fetal thymus, heart, lung and kidney. Within brain, expression was highest in hippocampus, caudate nucleus, and substantia nigra. Not detected in skeletal muscle and fetal liver.; </t>
  </si>
  <si>
    <t xml:space="preserve">KPNA1</t>
  </si>
  <si>
    <t xml:space="preserve">TISSUE SPECIFICITY: Expressed ubiquitously.; </t>
  </si>
  <si>
    <t xml:space="preserve">ovary;colon;parathyroid;fovea centralis;choroid;skin;retina;bone marrow;uterus;prostate;optic nerve;frontal lobe;larynx;bone;thyroid;iris;testis;dura mater;germinal center;brain;pineal gland;unclassifiable (Anatomical System);meninges;tongue;islets of Langerhans;hypothalamus;urinary;blood;lens;skeletal muscle;breast;pancreas;pia mater;lung;placenta;macula lutea;visual apparatus;liver;hypopharynx;spleen;head and neck;cervix;mammary gland;stomach;</t>
  </si>
  <si>
    <t xml:space="preserve">dorsal root ganglion;superior cervical ganglion;testis - interstitial;pons;atrioventricular node;skeletal muscle;subthalamic nucleus;fetal brain;testis - seminiferous tubule;globus pallidus;testis;ciliary ganglion;trigeminal ganglion;</t>
  </si>
  <si>
    <t xml:space="preserve">KRT76</t>
  </si>
  <si>
    <t xml:space="preserve">LAMA5</t>
  </si>
  <si>
    <t xml:space="preserve">TISSUE SPECIFICITY: Expressed in heart, lung, kidney, skeletal muscle, pancreas, retina and placenta. Little or no expression in brain and liver.; </t>
  </si>
  <si>
    <t xml:space="preserve">ovary;adrenal medulla;colon;parathyroid;skin;uterus;prostate;whole body;frontal lobe;oesophagus;endometrium;larynx;thyroid;testis;dura mater;germinal center;spinal ganglion;brain;bladder;gall bladder;unclassifiable (Anatomical System);meninges;cartilage;heart;islets of Langerhans;urinary;blood;lens;breast;pancreas;pia mater;lung;epididymis;placenta;visual apparatus;liver;spleen;head and neck;cervix;kidney;stomach;</t>
  </si>
  <si>
    <t xml:space="preserve">LAMB4</t>
  </si>
  <si>
    <t xml:space="preserve">unclassifiable (Anatomical System);uterus;heart;skin;</t>
  </si>
  <si>
    <t xml:space="preserve">dorsal root ganglion;superior cervical ganglion;ciliary ganglion;atrioventricular node;skin;</t>
  </si>
  <si>
    <t xml:space="preserve">LCMT2</t>
  </si>
  <si>
    <t xml:space="preserve">unclassifiable (Anatomical System);smooth muscle;tongue;colon;blood;fovea centralis;choroid;lens;skin;retina;uterus;breast;optic nerve;lung;endometrium;thyroid;placenta;macula lutea;testis;head and neck;germinal center;brain;mammary gland;stomach;</t>
  </si>
  <si>
    <t xml:space="preserve">dorsal root ganglion;superior cervical ganglion;ciliary ganglion;atrioventricular node;caudate nucleus;trigeminal ganglion;skeletal muscle;skin;</t>
  </si>
  <si>
    <t xml:space="preserve">LCN2</t>
  </si>
  <si>
    <t xml:space="preserve">TISSUE SPECIFICITY: Expressed in bone marrow and in tissues that are prone to exposure to microorganism. High expression is found in bone marrow as well as in uterus, prostate, salivary gland, stomach, appendix, colon, trachea and lung. Not found in the small intestine or peripheral blood leukocytes. {ECO:0000269|PubMed:9339356}.; </t>
  </si>
  <si>
    <t xml:space="preserve">ovary;umbilical cord;colon;skin;bone marrow;uterus;prostate;whole body;oesophagus;bone;thyroid;unclassifiable (Anatomical System);lymph node;cartilage;heart;lacrimal gland;tongue;islets of Langerhans;pharynx;blood;breast;pancreas;lung;nasopharynx;visual apparatus;hypopharynx;liver;head and neck;cervix;kidney;stomach;</t>
  </si>
  <si>
    <t xml:space="preserve">trachea;tongue;salivary gland;beta cell islets;fetal lung;bone marrow;</t>
  </si>
  <si>
    <t xml:space="preserve">LGR5</t>
  </si>
  <si>
    <t xml:space="preserve">TISSUE SPECIFICITY: Expressed in skeletal muscle, placenta, spinal cord, and various region of brain. Expressed at the base of crypts in colonic and small mucosa stem cells. In premalignant cancer expression is not restricted to the cript base. Overexpressed in cancers of the ovary, colon and liver. {ECO:0000269|PubMed:12601349, ECO:0000269|PubMed:16575208, ECO:0000269|PubMed:19030762}.; </t>
  </si>
  <si>
    <t xml:space="preserve">unclassifiable (Anatomical System);amygdala;whole body;endometrium;placenta;liver;colon;skeletal muscle;stomach;</t>
  </si>
  <si>
    <t xml:space="preserve">superior cervical ganglion;placenta;ciliary ganglion;atrioventricular node;pons;trigeminal ganglion;fetal thyroid;skin;</t>
  </si>
  <si>
    <t xml:space="preserve">LRP1B</t>
  </si>
  <si>
    <t xml:space="preserve">TISSUE SPECIFICITY: Expressed in thyroid gland and in salivary gland, as well as in adult and fetal brain. {ECO:0000269|PubMed:11384978}.; </t>
  </si>
  <si>
    <t xml:space="preserve">LRRC74A</t>
  </si>
  <si>
    <t xml:space="preserve">M1AP</t>
  </si>
  <si>
    <t xml:space="preserve">MAN2A2</t>
  </si>
  <si>
    <t xml:space="preserve">ovary;sympathetic chain;colon;parathyroid;fovea centralis;vein;skin;retina;bone marrow;uterus;prostate;whole body;frontal lobe;cochlea;endometrium;bone;thyroid;testis;germinal center;spinal ganglion;brain;bladder;gall bladder;unclassifiable (Anatomical System);cartilage;heart;islets of Langerhans;pineal body;blood;lens;skeletal muscle;breast;pancreas;lung;adrenal gland;placenta;macula lutea;visual apparatus;hypopharynx;liver;amnion;spleen;head and neck;kidney;mammary gland;stomach;cerebellum;</t>
  </si>
  <si>
    <t xml:space="preserve">trigeminal ganglion;cingulate cortex;skeletal muscle;</t>
  </si>
  <si>
    <t xml:space="preserve">MCM8-AS1</t>
  </si>
  <si>
    <t xml:space="preserve">MCM8 antisense RNA 1</t>
  </si>
  <si>
    <t xml:space="preserve">MGA</t>
  </si>
  <si>
    <t xml:space="preserve">unclassifiable (Anatomical System);heart;colon;bone marrow;uterus;breast;lung;bone;liver;testis;spleen;cervix;kidney;brain;stomach;</t>
  </si>
  <si>
    <t xml:space="preserve">superior cervical ganglion;testis - seminiferous tubule;ciliary ganglion;atrioventricular node;skeletal muscle;</t>
  </si>
  <si>
    <t xml:space="preserve">MGAM</t>
  </si>
  <si>
    <t xml:space="preserve">TISSUE SPECIFICITY: Expressed in small intestine, granulocyte, and kidney but not in salivary gland or pancreas.; </t>
  </si>
  <si>
    <t xml:space="preserve">MIR1268A</t>
  </si>
  <si>
    <t xml:space="preserve">microRNA 1268a</t>
  </si>
  <si>
    <t xml:space="preserve">MIR548I4</t>
  </si>
  <si>
    <t xml:space="preserve">microRNA 548i-4</t>
  </si>
  <si>
    <t xml:space="preserve">MIR548N</t>
  </si>
  <si>
    <t xml:space="preserve">microRNA 548n</t>
  </si>
  <si>
    <t xml:space="preserve">MKI67</t>
  </si>
  <si>
    <t xml:space="preserve">MPP7</t>
  </si>
  <si>
    <t xml:space="preserve">unclassifiable (Anatomical System);lymph node;heart;islets of Langerhans;colon;blood;uterus;lung;placenta;liver;testis;bladder;cerebellum;</t>
  </si>
  <si>
    <t xml:space="preserve">MTNR1A</t>
  </si>
  <si>
    <t xml:space="preserve">TISSUE SPECIFICITY: Expressed in hypophyseal pars tuberalis and hypothalamic suprachiasmatic nuclei (SCN). Hippocampus.; </t>
  </si>
  <si>
    <t xml:space="preserve">MUC16</t>
  </si>
  <si>
    <t xml:space="preserve">TISSUE SPECIFICITY: Expressed in corneal and conjunctival epithelia (at protein level). Overexpressed in ovarian carcinomas and ovarian low malignant potential (LMP) tumors as compared to the expression in normal ovarian tissue and ovarian adenomas. {ECO:0000269|PubMed:11369781, ECO:0000269|PubMed:12218296, ECO:0000269|PubMed:16384952}.; </t>
  </si>
  <si>
    <t xml:space="preserve">MUC2</t>
  </si>
  <si>
    <t xml:space="preserve">TISSUE SPECIFICITY: Colon, small intestine, colonic tumors, bronchus, cervix and gall bladder.; </t>
  </si>
  <si>
    <t xml:space="preserve">unclassifiable (Anatomical System);colon;blood;skeletal muscle;stomach;bone marrow;</t>
  </si>
  <si>
    <t xml:space="preserve">MYBBP1A</t>
  </si>
  <si>
    <t xml:space="preserve">lymphoreticular;ovary;colon;fovea centralis;choroid;skin;retina;bone marrow;uterus;prostate;optic nerve;frontal lobe;endometrium;larynx;bone;thyroid;testis;germinal center;brain;unclassifiable (Anatomical System);cartilage;heart;islets of Langerhans;blood;lens;skeletal muscle;pancreas;lung;placenta;macula lutea;visual apparatus;duodenum;spleen;head and neck;cervix;kidney;mammary gland;stomach;cerebellum;</t>
  </si>
  <si>
    <t xml:space="preserve">MYCBP</t>
  </si>
  <si>
    <t xml:space="preserve">0.739328409179167</t>
  </si>
  <si>
    <t xml:space="preserve">MYC binding protein</t>
  </si>
  <si>
    <t xml:space="preserve">FUNCTION: May control the transcriptional activity of MYC. Stimulates the activation of E box-dependent transcription by MYC.; </t>
  </si>
  <si>
    <t xml:space="preserve">TISSUE SPECIFICITY: Highly expressed in heart, placenta, pancreas, skeletal muscle and kidney. Also present at low levels in lung.; </t>
  </si>
  <si>
    <t xml:space="preserve">MYEF2</t>
  </si>
  <si>
    <t xml:space="preserve">ovary;sympathetic chain;colon;parathyroid;skin;bone marrow;retina;uterus;whole body;frontal lobe;endometrium;bone;pituitary gland;testis;germinal center;artery;brain;unclassifiable (Anatomical System);heart;islets of Langerhans;skeletal muscle;lung;placenta;liver;kidney;mammary gland;stomach;aorta;</t>
  </si>
  <si>
    <t xml:space="preserve">dorsal root ganglion;superior cervical ganglion;ciliary ganglion;pons;atrioventricular node;trigeminal ganglion;skeletal muscle;</t>
  </si>
  <si>
    <t xml:space="preserve">MYOM2</t>
  </si>
  <si>
    <t xml:space="preserve">myocardium;colon;choroid;fovea centralis;skin;retina;uterus;optic nerve;atrium;frontal lobe;larynx;testis;germinal center;brain;unclassifiable (Anatomical System);heart;spinal cord;lens;skeletal muscle;lung;placenta;macula lutea;liver;alveolus;head and neck;kidney;peripheral nerve;</t>
  </si>
  <si>
    <t xml:space="preserve">N4BP2</t>
  </si>
  <si>
    <t xml:space="preserve">unclassifiable (Anatomical System);heart;ovary;tongue;parathyroid;skin;skeletal muscle;uterus;breast;lung;frontal lobe;placenta;liver;testis;head and neck;spleen;brain;stomach;</t>
  </si>
  <si>
    <t xml:space="preserve">NCKAP1</t>
  </si>
  <si>
    <t xml:space="preserve">TISSUE SPECIFICITY: Expressed in all tissues examined except peripheral blood leukocytes, with highest expression in brain, heart, and skeletal muscle.; </t>
  </si>
  <si>
    <t xml:space="preserve">smooth muscle;ovary;skin;bone marrow;retina;prostate;frontal lobe;cochlea;endometrium;thyroid;bladder;brain;heart;cartilage;tongue;adrenal cortex;pharynx;blood;skeletal muscle;breast;trabecular meshwork;visual apparatus;liver;alveolus;cervix;mammary gland;salivary gland;intestine;colon;parathyroid;uterus;whole body;larynx;bone;pituitary gland;testis;pineal gland;unclassifiable (Anatomical System);lacrimal gland;islets of Langerhans;hypothalamus;pancreas;lung;adrenal gland;placenta;duodenum;head and neck;kidney;stomach;aorta;cerebellum;</t>
  </si>
  <si>
    <t xml:space="preserve">occipital lobe;prefrontal cortex;</t>
  </si>
  <si>
    <t xml:space="preserve">NEIL1</t>
  </si>
  <si>
    <t xml:space="preserve">TISSUE SPECIFICITY: Ubiquitous. {ECO:0000269|PubMed:11904416}.; </t>
  </si>
  <si>
    <t xml:space="preserve">colon;parathyroid;fovea centralis;choroid;retina;bone marrow;uterus;optic nerve;frontal lobe;endometrium;bone;testis;germinal center;brain;unclassifiable (Anatomical System);lymph node;cartilage;lacrimal gland;islets of Langerhans;adrenal cortex;lens;skeletal muscle;pancreas;lung;placenta;macula lutea;visual apparatus;liver;spleen;cervix;kidney;stomach;</t>
  </si>
  <si>
    <t xml:space="preserve">NPEPPS</t>
  </si>
  <si>
    <t xml:space="preserve">TISSUE SPECIFICITY: Detected in liver, epithelium of renal tubules, epithelium of small and large intestine, gastric epithelial cells, and alveoli of the lung (at protein level). {ECO:0000269|PubMed:10978616}.; </t>
  </si>
  <si>
    <t xml:space="preserve">smooth muscle;ovary;skin;bone marrow;retina;prostate;optic nerve;frontal lobe;endometrium;thyroid;iris;amniotic fluid;germinal center;brain;heart;cartilage;tongue;blood;lens;breast;epididymis;visual apparatus;macula lutea;liver;spleen;cervix;mammary gland;colon;choroid;fovea centralis;uterus;whole body;larynx;bone;testis;pineal gland;unclassifiable (Anatomical System);lymph node;islets of Langerhans;hypothalamus;bile duct;pancreas;lung;placenta;duodenum;head and neck;kidney;stomach;aorta;thymus;</t>
  </si>
  <si>
    <t xml:space="preserve">dorsal root ganglion;thalamus;superior cervical ganglion;medulla oblongata;occipital lobe;pons;caudate nucleus;skeletal muscle;subthalamic nucleus;testis - seminiferous tubule;globus pallidus;ciliary ganglion;cingulate cortex;parietal lobe;</t>
  </si>
  <si>
    <t xml:space="preserve">NPSR1-AS1</t>
  </si>
  <si>
    <t xml:space="preserve">NT5DC1</t>
  </si>
  <si>
    <t xml:space="preserve">ovary;colon;parathyroid;fovea centralis;choroid;skin;retina;bone marrow;uterus;prostate;optic nerve;whole body;frontal lobe;endometrium;bone;testis;germinal center;brain;bladder;unclassifiable (Anatomical System);lymph node;cartilage;heart;islets of Langerhans;hypothalamus;lens;pancreas;lung;adrenal gland;nasopharynx;placenta;macula lutea;visual apparatus;liver;spleen;kidney;mammary gland;stomach;aorta;</t>
  </si>
  <si>
    <t xml:space="preserve">NTF4</t>
  </si>
  <si>
    <t xml:space="preserve">TISSUE SPECIFICITY: Highest levels in prostate, lower levels in thymus, placenta, and skeletal muscle. Expressed in embryonic and adult tissues.; </t>
  </si>
  <si>
    <t xml:space="preserve">unclassifiable (Anatomical System);uterus;lung;whole body;ovary;placenta;brain;</t>
  </si>
  <si>
    <t xml:space="preserve">dorsal root ganglion;superior cervical ganglion;ciliary ganglion;atrioventricular node;pons;trigeminal ganglion;skin;</t>
  </si>
  <si>
    <t xml:space="preserve">NTMT1</t>
  </si>
  <si>
    <t xml:space="preserve">0.40245053975409</t>
  </si>
  <si>
    <t xml:space="preserve">N-terminal Xaa-Pro-Lys N-methyltransferase 1</t>
  </si>
  <si>
    <t xml:space="preserve">NUP153</t>
  </si>
  <si>
    <t xml:space="preserve">ovary;salivary gland;intestine;colon;parathyroid;skin;retina;bone marrow;uterus;prostate;whole body;endometrium;larynx;bone;thyroid;testis;germinal center;brain;bladder;unclassifiable (Anatomical System);lymph node;cartilage;heart;islets of Langerhans;pharynx;blood;skeletal muscle;breast;pancreas;lung;adrenal gland;epididymis;placenta;visual apparatus;alveolus;liver;spleen;head and neck;kidney;mammary gland;aorta;stomach;thymus;</t>
  </si>
  <si>
    <t xml:space="preserve">testis - interstitial;superior cervical ganglion;fetal liver;ciliary ganglion;atrioventricular node;trigeminal ganglion;</t>
  </si>
  <si>
    <t xml:space="preserve">NXN</t>
  </si>
  <si>
    <t xml:space="preserve">ovary;colon;parathyroid;fovea centralis;choroid;skin;retina;uterus;prostate;optic nerve;whole body;cochlea;endometrium;larynx;thyroid;bone;testis;brain;pineal gland;unclassifiable (Anatomical System);heart;cartilage;tongue;islets of Langerhans;lens;skeletal muscle;bile duct;pancreas;lung;placenta;macula lutea;liver;head and neck;kidney;peripheral nerve;</t>
  </si>
  <si>
    <t xml:space="preserve">prostate;superior cervical ganglion;lung;trigeminal ganglion;skeletal muscle;</t>
  </si>
  <si>
    <t xml:space="preserve">OR2T11</t>
  </si>
  <si>
    <t xml:space="preserve">OR52A1</t>
  </si>
  <si>
    <t xml:space="preserve">PARD3B</t>
  </si>
  <si>
    <t xml:space="preserve">TISSUE SPECIFICITY: Highly expressed in kidney, lung and skeletal muscle. Expressed at intermediate levels in brain, heart, placenta, liver and pancreas. Isoform 1 is predominant, while isoform 2 and isoform 3 are expressed at lower levels.; </t>
  </si>
  <si>
    <t xml:space="preserve">unclassifiable (Anatomical System);heart;fovea centralis;choroid;lens;skeletal muscle;skin;retina;uterus;breast;optic nerve;lung;macula lutea;amnion;testis;kidney;</t>
  </si>
  <si>
    <t xml:space="preserve">superior cervical ganglion;subthalamic nucleus;temporal lobe;globus pallidus;ciliary ganglion;atrioventricular node;trigeminal ganglion;</t>
  </si>
  <si>
    <t xml:space="preserve">PARP11</t>
  </si>
  <si>
    <t xml:space="preserve">unclassifiable (Anatomical System);uterus;lung;heart;visual apparatus;testis;colon;germinal center;skin;</t>
  </si>
  <si>
    <t xml:space="preserve">superior cervical ganglion;appendix;ciliary ganglion;atrioventricular node;pons;trigeminal ganglion;</t>
  </si>
  <si>
    <t xml:space="preserve">PBX3</t>
  </si>
  <si>
    <t xml:space="preserve">unclassifiable (Anatomical System);ovary;hypothalamus;colon;blood;lens;breast;lung;larynx;visual apparatus;pituitary gland;liver;testis;head and neck;spleen;germinal center;kidney;brain;mammary gland;stomach;</t>
  </si>
  <si>
    <t xml:space="preserve">superior cervical ganglion;ovary;adrenal gland;adrenal cortex;trigeminal ganglion;</t>
  </si>
  <si>
    <t xml:space="preserve">PHF19</t>
  </si>
  <si>
    <t xml:space="preserve">TISSUE SPECIFICITY: Isoform 1 is expressed in thymus, heart, lung and kidney. Isoform 2 is predominantly expressed in placenta, skeletal muscle and kidney, whereas isoform 1 is predominantly expressed in liver and peripheral blood leukocytes. Overexpressed in many types of cancers, including colon, skin, lung, rectal, cervical, uterus, liver cancers, in cell lines derived from different stages of melanoma and in glioma cell lines. {ECO:0000269|PubMed:15563832}.; </t>
  </si>
  <si>
    <t xml:space="preserve">lymphoreticular;ovary;salivary gland;intestine;colon;parathyroid;fovea centralis;choroid;skin;retina;prostate;optic nerve;whole body;oesophagus;bone;testis;germinal center;brain;bladder;unclassifiable (Anatomical System);islets of Langerhans;pharynx;blood;lens;skeletal muscle;breast;lung;placenta;macula lutea;visual apparatus;liver;cervix;kidney;mammary gland;stomach;thymus;</t>
  </si>
  <si>
    <t xml:space="preserve">superior cervical ganglion;globus pallidus;ciliary ganglion;atrioventricular node;trigeminal ganglion;</t>
  </si>
  <si>
    <t xml:space="preserve">PINK1-AS</t>
  </si>
  <si>
    <t xml:space="preserve">PINK1 antisense RNA</t>
  </si>
  <si>
    <t xml:space="preserve">PKHD1</t>
  </si>
  <si>
    <t xml:space="preserve">TISSUE SPECIFICITY: Predominantly expressed in fetal and adult kidney. In the kidney, it is found in the cortical and medullary collecting ducts. Also present in the adult pancreas, but at much lower levels. Detectable in fetal and adult liver. Rather indistinct signal in fetal brain. {ECO:0000269|PubMed:14978161, ECO:0000269|PubMed:15458427}.; </t>
  </si>
  <si>
    <t xml:space="preserve">unclassifiable (Anatomical System);liver;kidney;</t>
  </si>
  <si>
    <t xml:space="preserve">PLCH2</t>
  </si>
  <si>
    <t xml:space="preserve">TISSUE SPECIFICITY: Expressed in retina and kidney. {ECO:0000269|PubMed:16107206}.; </t>
  </si>
  <si>
    <t xml:space="preserve">unclassifiable (Anatomical System);amygdala;lymph node;islets of Langerhans;colon;substantia nigra;fovea centralis;choroid;lens;retina;pancreas;whole body;optic nerve;lung;macula lutea;visual apparatus;germinal center;kidney;mammary gland;pineal gland;brain;</t>
  </si>
  <si>
    <t xml:space="preserve">dorsal root ganglion;subthalamic nucleus;superior cervical ganglion;temporal lobe;ciliary ganglion;atrioventricular node;trigeminal ganglion;cingulate cortex;skeletal muscle;cerebellum;</t>
  </si>
  <si>
    <t xml:space="preserve">PNPLA7</t>
  </si>
  <si>
    <t xml:space="preserve">unclassifiable (Anatomical System);lymph node;ovary;islets of Langerhans;retina;uterus;pancreas;prostate;lung;endometrium;bone;alveolus;testis;germinal center;kidney;brain;stomach;thymus;</t>
  </si>
  <si>
    <t xml:space="preserve">superior cervical ganglion;ciliary ganglion;caudate nucleus;trigeminal ganglion;skeletal muscle;skin;parietal lobe;</t>
  </si>
  <si>
    <t xml:space="preserve">PPEF1</t>
  </si>
  <si>
    <t xml:space="preserve">TISSUE SPECIFICITY: Detected in retina and retinal derived Y-79 retinoblastoma cells. Also found in fetal brain.; </t>
  </si>
  <si>
    <t xml:space="preserve">unclassifiable (Anatomical System);lung;whole body;ovary;adrenal gland;placenta;testis;parathyroid;brain;skeletal muscle;</t>
  </si>
  <si>
    <t xml:space="preserve">dorsal root ganglion;testis - interstitial;testis;ciliary ganglion;atrioventricular node;</t>
  </si>
  <si>
    <t xml:space="preserve">PPEF2</t>
  </si>
  <si>
    <t xml:space="preserve">TISSUE SPECIFICITY: Retinal specific.; </t>
  </si>
  <si>
    <t xml:space="preserve">optic nerve;macula lutea;fovea centralis;choroid;lens;pineal gland;skeletal muscle;retina;</t>
  </si>
  <si>
    <t xml:space="preserve">superior cervical ganglion;appendix;globus pallidus;atrioventricular node;trigeminal ganglion;</t>
  </si>
  <si>
    <t xml:space="preserve">PPME1</t>
  </si>
  <si>
    <t xml:space="preserve">medulla oblongata;ovary;sympathetic chain;colon;parathyroid;vein;skin;retina;uterus;prostate;optic nerve;whole body;frontal lobe;endometrium;larynx;thyroid;testis;brain;unclassifiable (Anatomical System);lymph node;cartilage;heart;tongue;islets of Langerhans;muscle;blood;breast;bile duct;pancreas;lung;nasopharynx;placenta;visual apparatus;hippocampus;hypopharynx;liver;spleen;head and neck;cervix;mammary gland;stomach;</t>
  </si>
  <si>
    <t xml:space="preserve">whole brain;amygdala;superior cervical ganglion;medulla oblongata;occipital lobe;prefrontal cortex;globus pallidus;pons;parietal lobe;cingulate cortex;cerebellum;</t>
  </si>
  <si>
    <t xml:space="preserve">PPP2R2A</t>
  </si>
  <si>
    <t xml:space="preserve">0.959642692100134</t>
  </si>
  <si>
    <t xml:space="preserve">protein phosphatase 2 regulatory subunit B, alpha</t>
  </si>
  <si>
    <t xml:space="preserve">TISSUE SPECIFICITY: Expressed in all tissues examined. {ECO:0000269|PubMed:1849734}.; </t>
  </si>
  <si>
    <t xml:space="preserve">lymphoreticular;ovary;sympathetic chain;colon;parathyroid;fovea centralis;choroid;skin;retina;uterus;prostate;optic nerve;endometrium;larynx;bone;thyroid;testis;germinal center;brain;pineal gland;unclassifiable (Anatomical System);lymph node;trophoblast;cartilage;heart;islets of Langerhans;adrenal cortex;blood;lens;skeletal muscle;breast;pancreas;lung;placenta;macula lutea;visual apparatus;liver;spleen;head and neck;cervix;kidney;mammary gland;stomach;cerebellum;</t>
  </si>
  <si>
    <t xml:space="preserve">medulla oblongata;superior cervical ganglion;occipital lobe;globus pallidus;atrioventricular node;pons;trigeminal ganglion;parietal lobe;</t>
  </si>
  <si>
    <t xml:space="preserve">PRODH2</t>
  </si>
  <si>
    <t xml:space="preserve">unclassifiable (Anatomical System);liver;spleen;kidney;</t>
  </si>
  <si>
    <t xml:space="preserve">dorsal root ganglion;superior cervical ganglion;liver;ciliary ganglion;pons;atrioventricular node;kidney;trigeminal ganglion;skeletal muscle;</t>
  </si>
  <si>
    <t xml:space="preserve">PRRT3</t>
  </si>
  <si>
    <t xml:space="preserve">unclassifiable (Anatomical System);heart;ovary;islets of Langerhans;hypothalamus;skin;bone marrow;uterus;lung;liver;pituitary gland;spleen;germinal center;kidney;brain;</t>
  </si>
  <si>
    <t xml:space="preserve">PRSS3</t>
  </si>
  <si>
    <t xml:space="preserve">TISSUE SPECIFICITY: Expressed in pancreas and brain. Also expressed in Paneth cells, at the base of small intestinal crypts. {ECO:0000269|PubMed:12021776}.; </t>
  </si>
  <si>
    <t xml:space="preserve">unclassifiable (Anatomical System);ovary;heart;islets of Langerhans;salivary gland;intestine;colon;pharynx;blood;uterus;prostate;pancreas;lung;bone;visual apparatus;liver;testis;spleen;kidney;brain;bladder;stomach;</t>
  </si>
  <si>
    <t xml:space="preserve">whole brain;pancreas;subthalamic nucleus;superior cervical ganglion;tongue;cerebellum peduncles;beta cell islets;trigeminal ganglion;skeletal muscle;cerebellum;</t>
  </si>
  <si>
    <t xml:space="preserve">PTH2R</t>
  </si>
  <si>
    <t xml:space="preserve">TISSUE SPECIFICITY: Expressed abundantly in brain and pancreas. Also expressed in the testis. {ECO:0000269|PubMed:7797535}.; </t>
  </si>
  <si>
    <t xml:space="preserve">unclassifiable (Anatomical System);lymphoreticular;lung;macula lutea;fovea centralis;skin;</t>
  </si>
  <si>
    <t xml:space="preserve">PTPRT</t>
  </si>
  <si>
    <t xml:space="preserve">TISSUE SPECIFICITY: Expressed in colon, lung, heart and testis, as well as in fetal and adult brain. Not detected in muscle and peripheral blood leukocytes. {ECO:0000269|PubMed:15155950}.; </t>
  </si>
  <si>
    <t xml:space="preserve">unclassifiable (Anatomical System);blood;fovea centralis;choroid;lens;skeletal muscle;retina;bone marrow;breast;prostate;optic nerve;whole body;frontal lobe;placenta;macula lutea;hippocampus;visual apparatus;alveolus;brain;</t>
  </si>
  <si>
    <t xml:space="preserve">subthalamic nucleus;superior cervical ganglion;medulla oblongata;occipital lobe;prefrontal cortex;pons;cingulate cortex;parietal lobe;</t>
  </si>
  <si>
    <t xml:space="preserve">PYGO1</t>
  </si>
  <si>
    <t xml:space="preserve">cervix;</t>
  </si>
  <si>
    <t xml:space="preserve">superior cervical ganglion;testis - interstitial;ciliary ganglion;atrioventricular node;trigeminal ganglion;skeletal muscle;</t>
  </si>
  <si>
    <t xml:space="preserve">RANBP3</t>
  </si>
  <si>
    <t xml:space="preserve">TISSUE SPECIFICITY: Widely expressed with high levels in testis and heart. {ECO:0000269|PubMed:9637251}.; </t>
  </si>
  <si>
    <t xml:space="preserve">myocardium;ovary;colon;parathyroid;fovea centralis;choroid;skin;retina;bone marrow;uterus;prostate;optic nerve;endometrium;cerebral cortex;larynx;bone;iris;testis;germinal center;dura mater;brain;unclassifiable (Anatomical System);meninges;cartilage;heart;islets of Langerhans;blood;lens;skeletal muscle;pancreas;lung;pia mater;placenta;macula lutea;hippocampus;visual apparatus;liver;head and neck;spleen;kidney;mammary gland;stomach;peripheral nerve;cerebellum;</t>
  </si>
  <si>
    <t xml:space="preserve">subthalamic nucleus;superior cervical ganglion;testis - interstitial;testis;atrioventricular node;trigeminal ganglion;skeletal muscle;</t>
  </si>
  <si>
    <t xml:space="preserve">RBFOX1</t>
  </si>
  <si>
    <t xml:space="preserve">TISSUE SPECIFICITY: Predominantly expressed in muscle and brain.; </t>
  </si>
  <si>
    <t xml:space="preserve">unclassifiable (Anatomical System);amygdala;heart;ovary;hypothalamus;muscle;parathyroid;fovea centralis;choroid;lens;skeletal muscle;skin;retina;uterus;prostate;optic nerve;whole body;lung;placenta;macula lutea;visual apparatus;kidney;brain;cerebellum;</t>
  </si>
  <si>
    <t xml:space="preserve">whole brain;amygdala;dorsal root ganglion;thalamus;medulla oblongata;superior cervical ganglion;occipital lobe;cerebellum peduncles;temporal lobe;atrioventricular node;pons;caudate nucleus;skeletal muscle;subthalamic nucleus;fetal brain;prefrontal cortex;globus pallidus;ciliary ganglion;parietal lobe;cingulate cortex;</t>
  </si>
  <si>
    <t xml:space="preserve">RBM39</t>
  </si>
  <si>
    <t xml:space="preserve">TISSUE SPECIFICITY: Widely expressed. Highly expressed in pancreas, skeletal muscle, lung and brain. Expressed at intermediate level in kidney, liver and heart.; </t>
  </si>
  <si>
    <t xml:space="preserve">lymphoreticular;smooth muscle;ovary;sympathetic chain;skin;retina;bone marrow;prostate;optic nerve;frontal lobe;cochlea;endometrium;thyroid;germinal center;bladder;brain;gall bladder;heart;cartilage;adrenal cortex;pharynx;blood;lens;skeletal muscle;breast;epididymis;macula lutea;visual apparatus;liver;spleen;mammary gland;salivary gland;intestine;colon;parathyroid;fovea centralis;choroid;uterus;cerebral cortex;bone;testis;pineal gland;unclassifiable (Anatomical System);lymph node;lacrimal gland;islets of Langerhans;hypothalamus;bile duct;lung;cornea;adrenal gland;nasopharynx;placenta;hippocampus;head and neck;kidney;stomach;aorta;</t>
  </si>
  <si>
    <t xml:space="preserve">RBM6</t>
  </si>
  <si>
    <t xml:space="preserve">TISSUE SPECIFICITY: Ubiquitous in adults.; </t>
  </si>
  <si>
    <t xml:space="preserve">myocardium;smooth muscle;ovary;skin;bone marrow;prostate;optic nerve;frontal lobe;cochlea;endometrium;thyroid;germinal center;brain;gall bladder;amygdala;heart;cartilage;tongue;adrenal cortex;blood;skeletal muscle;breast;epididymis;macula lutea;liver;cervix;spleen;mammary gland;colon;parathyroid;fovea centralis;vein;uterus;larynx;bone;pituitary gland;testis;pineal gland;unclassifiable (Anatomical System);lymph node;islets of Langerhans;hypothalamus;pancreas;lung;adrenal gland;placenta;amnion;head and neck;kidney;stomach;thymus;cerebellum;</t>
  </si>
  <si>
    <t xml:space="preserve">superior cervical ganglion;olfactory bulb;testis - seminiferous tubule;fetal brain;adrenal cortex;testis;parietal lobe;</t>
  </si>
  <si>
    <t xml:space="preserve">RGS3</t>
  </si>
  <si>
    <t xml:space="preserve">myocardium;ovary;salivary gland;colon;fovea centralis;choroid;skin;retina;uterus;optic nerve;whole body;bone;thyroid;iris;pituitary gland;testis;amniotic fluid;germinal center;brain;unclassifiable (Anatomical System);lymph node;cartilage;heart;islets of Langerhans;hypothalamus;lens;breast;pancreas;lung;placenta;macula lutea;visual apparatus;liver;cervix;spleen;kidney;mammary gland;stomach;peripheral nerve;</t>
  </si>
  <si>
    <t xml:space="preserve">dorsal root ganglion;thalamus;superior cervical ganglion;heart;testis;appendix;ciliary ganglion;atrioventricular node;trigeminal ganglion;</t>
  </si>
  <si>
    <t xml:space="preserve">RGSL1</t>
  </si>
  <si>
    <t xml:space="preserve">testis;</t>
  </si>
  <si>
    <t xml:space="preserve">dorsal root ganglion;ciliary ganglion;atrioventricular node;trigeminal ganglion;skeletal muscle;</t>
  </si>
  <si>
    <t xml:space="preserve">RHBDF1</t>
  </si>
  <si>
    <t xml:space="preserve">TISSUE SPECIFICITY: Highly expressed in cerebellum, cerebrum, heart, skeletal muscle, placenta, pancreatic islet and testis. Detected at lower levels in colon, kidney, small intestine and lung. {ECO:0000269|PubMed:15965977, ECO:0000269|PubMed:8318735}.; </t>
  </si>
  <si>
    <t xml:space="preserve">ovary;colon;parathyroid;fovea centralis;choroid;skin;retina;uterus;prostate;optic nerve;endometrium;thyroid;testis;brain;unclassifiable (Anatomical System);lymph node;heart;cartilage;islets of Langerhans;urinary;lens;skeletal muscle;breast;pancreas;lung;placenta;macula lutea;liver;spleen;kidney;mammary gland;stomach;aorta;thymus;</t>
  </si>
  <si>
    <t xml:space="preserve">superior cervical ganglion;olfactory bulb;placenta;ciliary ganglion;trigeminal ganglion;</t>
  </si>
  <si>
    <t xml:space="preserve">RNF186</t>
  </si>
  <si>
    <t xml:space="preserve">RNU5F-1</t>
  </si>
  <si>
    <t xml:space="preserve">RNA, U5F small nuclear 1</t>
  </si>
  <si>
    <t xml:space="preserve">RRAGC</t>
  </si>
  <si>
    <t xml:space="preserve">0.600078052257623</t>
  </si>
  <si>
    <t xml:space="preserve">Ras related GTP binding C</t>
  </si>
  <si>
    <t xml:space="preserve">FUNCTION: Guanine nucleotide-binding protein forming heterodimeric Rag complexes required for the amino acid-induced relocalization of mTORC1 to the lysosomes and its subsequent activation by the GTPase RHEB. This is a crucial step in the activation of the TOR signaling cascade by amino acids. {ECO:0000269|PubMed:20381137}.; </t>
  </si>
  <si>
    <t xml:space="preserve">SCAPER</t>
  </si>
  <si>
    <t xml:space="preserve">TISSUE SPECIFICITY: Widely expressed with highest expression in testis. {ECO:0000269|PubMed:17698606}.; </t>
  </si>
  <si>
    <t xml:space="preserve">smooth muscle;ovary;colon;parathyroid;choroid;fovea centralis;retina;uterus;prostate;optic nerve;frontal lobe;endometrium;bone;thyroid;testis;germinal center;brain;unclassifiable (Anatomical System);cartilage;islets of Langerhans;lens;skeletal muscle;bile duct;pancreas;lung;nasopharynx;placenta;visual apparatus;macula lutea;liver;alveolus;spleen;kidney;stomach;</t>
  </si>
  <si>
    <t xml:space="preserve">amygdala;dorsal root ganglion;superior cervical ganglion;subthalamic nucleus;fetal brain;globus pallidus;testis;ciliary ganglion;atrioventricular node;pons;trigeminal ganglion;skeletal muscle;</t>
  </si>
  <si>
    <t xml:space="preserve">SCGB1B2P</t>
  </si>
  <si>
    <t xml:space="preserve">secretoglobin family 1B member 2, pseudogene</t>
  </si>
  <si>
    <t xml:space="preserve">SCGB2B2</t>
  </si>
  <si>
    <t xml:space="preserve">secretoglobin family 2B member 2</t>
  </si>
  <si>
    <t xml:space="preserve">SCGN</t>
  </si>
  <si>
    <t xml:space="preserve">TISSUE SPECIFICITY: Expressed at high levels in the pancreatic islets of Langerhans and to a much lesser extent in the gastrointestinal tract (stomach, small intestine and colon), the adrenal medulla and cortex and the thyroid C-cells. In the brain, the expression is restricted to distinct subtypes of neurons with highest expression in the molecular layer of the cerebellum (stellate and basket cells), in the anterior part of the pituitary gland, in the thalamus, in the hypothalamus and in a subgroup of neocortical neurons. {ECO:0000269|PubMed:11709487}.; </t>
  </si>
  <si>
    <t xml:space="preserve">unclassifiable (Anatomical System);prostate;pancreas;lung;islets of Langerhans;placenta;colon;substantia nigra;kidney;stomach;</t>
  </si>
  <si>
    <t xml:space="preserve">dorsal root ganglion;superior cervical ganglion;pancreas;cerebellum peduncles;hypothalamus;beta cell islets;atrioventricular node;pituitary;cerebellum;</t>
  </si>
  <si>
    <t xml:space="preserve">SCNN1D</t>
  </si>
  <si>
    <t xml:space="preserve">unclassifiable (Anatomical System);medulla oblongata;ovary;islets of Langerhans;blood;fovea centralis;choroid;lens;retina;optic nerve;lung;placenta;bone;macula lutea;testis;brain;</t>
  </si>
  <si>
    <t xml:space="preserve">superior cervical ganglion;medulla oblongata;temporal lobe;pons;trigeminal ganglion;</t>
  </si>
  <si>
    <t xml:space="preserve">SEC14L4</t>
  </si>
  <si>
    <t xml:space="preserve">unclassifiable (Anatomical System);medulla oblongata;lymph node;hypothalamus;colon;skin;retina;bone marrow;uterus;prostate;optic nerve;lung;endometrium;thyroid;visual apparatus;testis;germinal center;kidney;brain;mammary gland;stomach;</t>
  </si>
  <si>
    <t xml:space="preserve">SERPINB10</t>
  </si>
  <si>
    <t xml:space="preserve">TISSUE SPECIFICITY: Expressed specifically in myeloid cells and the bone marrow. {ECO:0000269|PubMed:20433722, ECO:0000269|PubMed:7592909}.; </t>
  </si>
  <si>
    <t xml:space="preserve">larynx;blood;head and neck;bone marrow;</t>
  </si>
  <si>
    <t xml:space="preserve">SESN3</t>
  </si>
  <si>
    <t xml:space="preserve">TISSUE SPECIFICITY: Widely expressed. {ECO:0000269|PubMed:12607115}.; </t>
  </si>
  <si>
    <t xml:space="preserve">unclassifiable (Anatomical System);breast;prostate;frontal lobe;ovary;heart;placenta;liver;parathyroid;bladder;</t>
  </si>
  <si>
    <t xml:space="preserve">SETDB2</t>
  </si>
  <si>
    <t xml:space="preserve">TISSUE SPECIFICITY: Ubiquitous. Highest expression in heart, testis and ovary.; </t>
  </si>
  <si>
    <t xml:space="preserve">unclassifiable (Anatomical System);lymph node;heart;islets of Langerhans;colon;skin;skeletal muscle;breast;uterus;prostate;whole body;lung;endometrium;adrenal gland;placenta;liver;testis;germinal center;</t>
  </si>
  <si>
    <t xml:space="preserve">SFTA3</t>
  </si>
  <si>
    <t xml:space="preserve">0.294636981931893</t>
  </si>
  <si>
    <t xml:space="preserve">surfactant associated 3</t>
  </si>
  <si>
    <t xml:space="preserve">TISSUE SPECIFICITY: Found (at protein level) in lung alveolar cells type I and II, as well as alveolar macrophages. {ECO:0000269|PubMed:24743970}.; </t>
  </si>
  <si>
    <t xml:space="preserve">SLC10A6</t>
  </si>
  <si>
    <t xml:space="preserve">TISSUE SPECIFICITY: Highly expressed in testis, placenta and pancreas. Moderately expressed in heart, lung and mammary gland. Weakly expressed in brain, colon, kidney, liver, ovary, prostate, small intestine, spleen and thymus. {ECO:0000269|PubMed:17491011}.; </t>
  </si>
  <si>
    <t xml:space="preserve">tongue;hypopharynx;head and neck;</t>
  </si>
  <si>
    <t xml:space="preserve">dorsal root ganglion;subthalamic nucleus;superior cervical ganglion;ciliary ganglion;atrioventricular node;trigeminal ganglion;skeletal muscle;</t>
  </si>
  <si>
    <t xml:space="preserve">SLC35E2B</t>
  </si>
  <si>
    <t xml:space="preserve">0.62100245921917</t>
  </si>
  <si>
    <t xml:space="preserve">solute carrier family 35 member E2B</t>
  </si>
  <si>
    <t xml:space="preserve">FUNCTION: Putative transporter. {ECO:0000250}.; </t>
  </si>
  <si>
    <t xml:space="preserve">unclassifiable (Anatomical System);ovary;islets of Langerhans;muscle;colon;blood;choroid;lens;skin;skeletal muscle;uterus;lung;endometrium;synovium;thyroid;placenta;testis;germinal center;kidney;brain;stomach;thymus;</t>
  </si>
  <si>
    <t xml:space="preserve">SLC36A1</t>
  </si>
  <si>
    <t xml:space="preserve">lymphoreticular;ovary;salivary gland;colon;parathyroid;skin;retina;bone marrow;uterus;prostate;frontal lobe;larynx;bone;thyroid;testis;germinal center;spinal ganglion;brain;unclassifiable (Anatomical System);heart;blood;lens;skeletal muscle;pancreas;lung;placenta;liver;spleen;head and neck;cervix;kidney;stomach;peripheral nerve;thymus;</t>
  </si>
  <si>
    <t xml:space="preserve">dorsal root ganglion;superior cervical ganglion;globus pallidus;ciliary ganglion;atrioventricular node;trigeminal ganglion;cerebellum;</t>
  </si>
  <si>
    <t xml:space="preserve">SLC41A2</t>
  </si>
  <si>
    <t xml:space="preserve">unclassifiable (Anatomical System);ovary;cartilage;blood;parathyroid;breast;frontal lobe;placenta;thyroid;kidney;artery;aorta;stomach;</t>
  </si>
  <si>
    <t xml:space="preserve">dorsal root ganglion;superior cervical ganglion;globus pallidus;ciliary ganglion;atrioventricular node;trigeminal ganglion;</t>
  </si>
  <si>
    <t xml:space="preserve">SLC4A5</t>
  </si>
  <si>
    <t xml:space="preserve">TISSUE SPECIFICITY: Highest expression observed in liver, spleen and testis; moderate expression in the choroid plexus, hippocampus, cerebrum and cerebellum of brain, and in kidney cortex and kidney medulla. Also observed in heart, pancreas, muscle, lung, placenta, stomach and small intestine. Weakest expression seen in peripheral blood lymphocytes, colon, duodenum, jejunum, ileum and skeletal muscle. {ECO:0000269|PubMed:10978526, ECO:0000269|PubMed:11087115, ECO:0000269|PubMed:11788353, ECO:0000269|PubMed:17715183}.; </t>
  </si>
  <si>
    <t xml:space="preserve">lymphoreticular;myocardium;smooth muscle;ovary;sympathetic chain;skin;retina;bone marrow;prostate;optic nerve;frontal lobe;endometrium;thyroid;germinal center;bladder;brain;tonsil;heart;cartilage;tongue;pharynx;blood;lens;skeletal muscle;breast;epididymis;macula lutea;visual apparatus;alveolus;liver;spleen;cervix;mammary gland;salivary gland;intestine;colon;parathyroid;fovea centralis;choroid;uterus;whole body;larynx;bone;testis;artery;pineal gland;unclassifiable (Anatomical System);lymph node;islets of Langerhans;pancreas;lung;placenta;hypopharynx;head and neck;kidney;stomach;aorta;</t>
  </si>
  <si>
    <t xml:space="preserve">superior cervical ganglion;globus pallidus;atrioventricular node;</t>
  </si>
  <si>
    <t xml:space="preserve">SLC5A11</t>
  </si>
  <si>
    <t xml:space="preserve">TISSUE SPECIFICITY: Highest expression in heart, skeletal muscle, kidney, liver and placenta. Weaker expression in brain, colon, spleen, lung and peripheral blood leukocytes. {ECO:0000269|PubMed:12039040}.; </t>
  </si>
  <si>
    <t xml:space="preserve">unclassifiable (Anatomical System);frontal lobe;kidney;</t>
  </si>
  <si>
    <t xml:space="preserve">hypothalamus;parietal lobe;</t>
  </si>
  <si>
    <t xml:space="preserve">SLC9B1</t>
  </si>
  <si>
    <t xml:space="preserve">TISSUE SPECIFICITY: Expressed only in the testis. {ECO:0000269|PubMed:16850186}.; </t>
  </si>
  <si>
    <t xml:space="preserve">unclassifiable (Anatomical System);medulla oblongata;pancreas;lung;whole body;ovary;heart;islets of Langerhans;placenta;visual apparatus;hippocampus;testis;parathyroid;</t>
  </si>
  <si>
    <t xml:space="preserve">dorsal root ganglion;superior cervical ganglion;testis - interstitial;temporal lobe;atrioventricular node;skeletal muscle;skin;testis - seminiferous tubule;globus pallidus;appendix;testis;ciliary ganglion;trigeminal ganglion;</t>
  </si>
  <si>
    <t xml:space="preserve">SMPDL3A</t>
  </si>
  <si>
    <t xml:space="preserve">SNHG22</t>
  </si>
  <si>
    <t xml:space="preserve">small nucleolar RNA host gene 22</t>
  </si>
  <si>
    <t xml:space="preserve">SORBS1</t>
  </si>
  <si>
    <t xml:space="preserve">TISSUE SPECIFICITY: Detected in skeletal muscle (at protein level). Widely expressed with highest levels in heart and skeletal muscle. {ECO:0000269|PubMed:11374898, ECO:0000269|PubMed:17462669}.; </t>
  </si>
  <si>
    <t xml:space="preserve">myocardium;ovary;colon;parathyroid;skin;retina;uterus;prostate;whole body;frontal lobe;cochlea;endometrium;larynx;thyroid;testis;spinal ganglion;brain;artery;unclassifiable (Anatomical System);heart;cartilage;hypothalamus;lens;skeletal muscle;lung;epididymis;placenta;hippocampus;liver;spleen;head and neck;kidney;mammary gland;stomach;aorta;peripheral nerve;</t>
  </si>
  <si>
    <t xml:space="preserve">dorsal root ganglion;superior cervical ganglion;olfactory bulb;spinal cord;temporal lobe;prefrontal cortex;ciliary ganglion;caudate nucleus;atrioventricular node;trigeminal ganglion;skeletal muscle;parietal lobe;</t>
  </si>
  <si>
    <t xml:space="preserve">SORBS2</t>
  </si>
  <si>
    <t xml:space="preserve">TISSUE SPECIFICITY: Abundantly expressed in heart. In cardiac muscle cells, located in the Z-disks of sarcomere. Also found, but to a lower extent, in small and large intestine, pancreas, thymus, colon, spleen, prostate, testis, brain, ovary and epithelial cells. In the pancreas, mainly expressed in acinar cells, duct cells and all cell types in islets (at protein level). Tends to be down-regulated in pancreatic adenocarcinomas ans metastases. {ECO:0000269|PubMed:11786189, ECO:0000269|PubMed:18559503, ECO:0000269|PubMed:9211900}.; </t>
  </si>
  <si>
    <t xml:space="preserve">myocardium;ovary;sympathetic chain;colon;parathyroid;fovea centralis;choroid;retina;bone marrow;uterus;prostate;optic nerve;whole body;frontal lobe;endometrium;thyroid;testis;brain;pineal gland;unclassifiable (Anatomical System);amygdala;heart;cartilage;islets of Langerhans;adrenal cortex;lens;skeletal muscle;breast;pancreas;lung;nasopharynx;trabecular meshwork;placenta;macula lutea;visual apparatus;liver;spleen;kidney;mammary gland;stomach;cerebellum;</t>
  </si>
  <si>
    <t xml:space="preserve">dorsal root ganglion;superior cervical ganglion;heart;adrenal gland;thyroid;prefrontal cortex;liver;adrenal cortex;atrioventricular node;fetal thyroid;skin;</t>
  </si>
  <si>
    <t xml:space="preserve">SP140L</t>
  </si>
  <si>
    <t xml:space="preserve">unclassifiable (Anatomical System);breast;prostate;lung;cartilage;testis;colon;amniotic fluid;blood;brain;bone marrow;</t>
  </si>
  <si>
    <t xml:space="preserve">dorsal root ganglion;ciliary ganglion;atrioventricular node;</t>
  </si>
  <si>
    <t xml:space="preserve">SPCS3</t>
  </si>
  <si>
    <t xml:space="preserve">STK38</t>
  </si>
  <si>
    <t xml:space="preserve">TISSUE SPECIFICITY: Ubiquitously expressed with highest levels observed in peripheral blood leukocytes. {ECO:0000269|PubMed:15197186, ECO:0000269|PubMed:7761441}.; </t>
  </si>
  <si>
    <t xml:space="preserve">ovary;skin;bone marrow;retina;prostate;optic nerve;cochlea;endometrium;germinal center;bladder;brain;heart;cartilage;tongue;adrenal cortex;pharynx;blood;lens;skeletal muscle;breast;visual apparatus;macula lutea;liver;alveolus;spleen;cervix;mammary gland;salivary gland;intestine;colon;parathyroid;choroid;fovea centralis;uterus;whole body;larynx;bone;pituitary gland;testis;spinal ganglion;unclassifiable (Anatomical System);lacrimal gland;muscle;pancreas;lung;nasopharynx;placenta;head and neck;kidney;stomach;aorta;</t>
  </si>
  <si>
    <t xml:space="preserve">dorsal root ganglion;superior cervical ganglion;subthalamic nucleus;ciliary ganglion;white blood cells;atrioventricular node;whole blood;trigeminal ganglion;</t>
  </si>
  <si>
    <t xml:space="preserve">SULT1A1</t>
  </si>
  <si>
    <t xml:space="preserve">TISSUE SPECIFICITY: Liver, lung, adrenal, brain, platelets and skin.; </t>
  </si>
  <si>
    <t xml:space="preserve">smooth muscle;ovary;sympathetic chain;colon;parathyroid;vein;skin;retina;bone marrow;uterus;prostate;optic nerve;whole body;frontal lobe;oesophagus;endometrium;larynx;thyroid;bone;iris;testis;germinal center;spinal ganglion;bladder;brain;tonsil;unclassifiable (Anatomical System);lymph node;heart;cartilage;tongue;islets of Langerhans;pineal body;blood;pancreas;lung;trabecular meshwork;placenta;visual apparatus;hypopharynx;liver;cervix;head and neck;spleen;kidney;mammary gland;stomach;cerebellum;</t>
  </si>
  <si>
    <t xml:space="preserve">SUSD4</t>
  </si>
  <si>
    <t xml:space="preserve">TISSUE SPECIFICITY: Isoform 3 is the predominant isoform in all tissues except cortex, cerebellum, kidney, and breast. Isoform 1 is found primarily in the esophagus and the brain. {ECO:0000269|PubMed:23482636}.; </t>
  </si>
  <si>
    <t xml:space="preserve">unclassifiable (Anatomical System);uterus;lung;frontal lobe;ovary;heart;islets of Langerhans;hypothalamus;bone;hippocampus;testis;skin;</t>
  </si>
  <si>
    <t xml:space="preserve">amygdala;whole brain;medulla oblongata;thalamus;superior cervical ganglion;hypothalamus;temporal lobe;prefrontal cortex;cingulate cortex;skeletal muscle;</t>
  </si>
  <si>
    <t xml:space="preserve">SVEP1</t>
  </si>
  <si>
    <t xml:space="preserve">TISSUE SPECIFICITY: Present in mesenchymal primary cultured cell lysates (at protein level). Highly expressed in placenta. Also expressed in marrow stromal cell. Weakly or not expressed in other tissues. {ECO:0000269|PubMed:11062057, ECO:0000269|PubMed:16206243}.; </t>
  </si>
  <si>
    <t xml:space="preserve">ovary;colon;parathyroid;choroid;skin;uterus;whole body;frontal lobe;cerebral cortex;larynx;bone;testis;brain;unclassifiable (Anatomical System);heart;cartilage;islets of Langerhans;skeletal muscle;breast;pancreas;lung;epididymis;nasopharynx;trabecular meshwork;placenta;visual apparatus;liver;hypopharynx;spleen;head and neck;kidney;mammary gland;</t>
  </si>
  <si>
    <t xml:space="preserve">superior cervical ganglion;adipose tissue;placenta;globus pallidus;ciliary ganglion;pons;atrioventricular node;trigeminal ganglion;skeletal muscle;</t>
  </si>
  <si>
    <t xml:space="preserve">TAF2</t>
  </si>
  <si>
    <t xml:space="preserve">TISSUE SPECIFICITY: Expressed in all tissues tested. {ECO:0000269|PubMed:9774672}.; </t>
  </si>
  <si>
    <t xml:space="preserve">TBC1D8</t>
  </si>
  <si>
    <t xml:space="preserve">TCEAL4</t>
  </si>
  <si>
    <t xml:space="preserve">TJP3</t>
  </si>
  <si>
    <t xml:space="preserve">medulla oblongata;ovary;salivary gland;intestine;colon;fovea centralis;choroid;skin;retina;uterus;prostate;optic nerve;endometrium;bone;testis;brain;unclassifiable (Anatomical System);lymph node;heart;cartilage;pharynx;blood;lens;bile duct;lung;cornea;placenta;macula lutea;visual apparatus;liver;spleen;kidney;mammary gland;stomach;</t>
  </si>
  <si>
    <t xml:space="preserve">superior cervical ganglion;testis - interstitial;testis;trigeminal ganglion;skeletal muscle;</t>
  </si>
  <si>
    <t xml:space="preserve">TLK2</t>
  </si>
  <si>
    <t xml:space="preserve">TISSUE SPECIFICITY: Ubiquitous. Detected in placenta, fetal liver, kidney, pancreas, heart and skeletal muscle. Highly expressed in testis. Detected in spleen, thymus, colon, ovary, small intestine, prostate and peripheral blood leukocytes. {ECO:0000269|PubMed:9427565, ECO:0000269|PubMed:9662073}.; </t>
  </si>
  <si>
    <t xml:space="preserve">lymphoreticular;smooth muscle;ovary;colon;parathyroid;choroid;skin;bone marrow;uterus;whole body;frontal lobe;endometrium;bone;thyroid;iris;testis;germinal center;brain;unclassifiable (Anatomical System);cartilage;heart;islets of Langerhans;blood;skeletal muscle;breast;pancreas;lung;placenta;liver;spleen;head and neck;kidney;mammary gland;stomach;thymus;</t>
  </si>
  <si>
    <t xml:space="preserve">dorsal root ganglion;testis - interstitial;subthalamic nucleus;testis - seminiferous tubule;ciliary ganglion;atrioventricular node;trigeminal ganglion;skeletal muscle;cerebellum;</t>
  </si>
  <si>
    <t xml:space="preserve">TMEM151A</t>
  </si>
  <si>
    <t xml:space="preserve">unclassifiable (Anatomical System);pancreas;optic nerve;lung;frontal lobe;macula lutea;hippocampus;testis;fovea centralis;choroid;lens;brain;retina;</t>
  </si>
  <si>
    <t xml:space="preserve">TMEM223</t>
  </si>
  <si>
    <t xml:space="preserve">colon;skin;retina;uterus;prostate;whole body;frontal lobe;endometrium;larynx;bone;thyroid;testis;brain;tonsil;unclassifiable (Anatomical System);lymph node;heart;islets of Langerhans;adrenal cortex;blood;lens;pancreas;lung;placenta;visual apparatus;hippocampus;liver;spleen;kidney;mammary gland;stomach;aorta;thymus;</t>
  </si>
  <si>
    <t xml:space="preserve">medulla oblongata;superior cervical ganglion;liver;trigeminal ganglion;cingulate cortex;</t>
  </si>
  <si>
    <t xml:space="preserve">TNRC18</t>
  </si>
  <si>
    <t xml:space="preserve">colon;parathyroid;choroid;fovea centralis;skin;retina;uterus;optic nerve;bone;iris;testis;germinal center;brain;unclassifiable (Anatomical System);heart;islets of Langerhans;lens;skeletal muscle;lung;placenta;macula lutea;liver;cervix;spleen;stomach;</t>
  </si>
  <si>
    <t xml:space="preserve">dorsal root ganglion;subthalamic nucleus;thalamus;superior cervical ganglion;globus pallidus;ciliary ganglion;pons;atrioventricular node;trigeminal ganglion;skeletal muscle;</t>
  </si>
  <si>
    <t xml:space="preserve">TPTE</t>
  </si>
  <si>
    <t xml:space="preserve">TISSUE SPECIFICITY: Exclusively expressed in testis. {ECO:0000269|PubMed:10598804}.; </t>
  </si>
  <si>
    <t xml:space="preserve">unclassifiable (Anatomical System);lung;placenta;testis;</t>
  </si>
  <si>
    <t xml:space="preserve">dorsal root ganglion;superior cervical ganglion;testis - interstitial;testis - seminiferous tubule;appendix;testis;ciliary ganglion;atrioventricular node;trigeminal ganglion;</t>
  </si>
  <si>
    <t xml:space="preserve">TPTE2</t>
  </si>
  <si>
    <t xml:space="preserve">TISSUE SPECIFICITY: Isoform 3 is expressed in testis, brain and stomach while isoform 4 seems to be testis-specific. {ECO:0000269|PubMed:11716755}.; </t>
  </si>
  <si>
    <t xml:space="preserve">unclassifiable (Anatomical System);placenta;testis;brain;</t>
  </si>
  <si>
    <t xml:space="preserve">TRABD</t>
  </si>
  <si>
    <t xml:space="preserve">medulla oblongata;ovary;colon;parathyroid;fovea centralis;choroid;skin;retina;bone marrow;uterus;prostate;optic nerve;endometrium;bone;pituitary gland;testis;germinal center;brain;tonsil;unclassifiable (Anatomical System);amygdala;lymph node;cartilage;heart;islets of Langerhans;muscle;blood;lens;breast;lung;placenta;macula lutea;hippocampus;liver;duodenum;spleen;kidney;mammary gland;stomach;</t>
  </si>
  <si>
    <t xml:space="preserve">superior cervical ganglion;white blood cells;</t>
  </si>
  <si>
    <t xml:space="preserve">TRAF3IP2-AS1</t>
  </si>
  <si>
    <t xml:space="preserve">TRAF3IP2 antisense RNA 1</t>
  </si>
  <si>
    <t xml:space="preserve">TRAF7</t>
  </si>
  <si>
    <t xml:space="preserve">TISSUE SPECIFICITY: Ubiquitously expressed with high levels in skeletal muscle, heart, colon, spleen, kidney, liver and placenta. {ECO:0000269|PubMed:15001576}.; </t>
  </si>
  <si>
    <t xml:space="preserve">lymphoreticular;medulla oblongata;ovary;salivary gland;intestine;colon;fovea centralis;choroid;skin;retina;bone marrow;uterus;prostate;optic nerve;whole body;frontal lobe;endometrium;bone;thyroid;testis;germinal center;brain;bladder;unclassifiable (Anatomical System);lymph node;cartilage;heart;islets of Langerhans;pharynx;blood;lens;skeletal muscle;breast;bile duct;pancreas;lung;placenta;macula lutea;visual apparatus;liver;spleen;kidney;mammary gland;stomach;thymus;</t>
  </si>
  <si>
    <t xml:space="preserve">TRIM31</t>
  </si>
  <si>
    <t xml:space="preserve">tripartite motif containing 31</t>
  </si>
  <si>
    <t xml:space="preserve">TISSUE SPECIFICITY: Up-regulated in gastric adenocarcinomas. {ECO:0000269|PubMed:18773414}.; </t>
  </si>
  <si>
    <t xml:space="preserve">TRIM31-AS1</t>
  </si>
  <si>
    <t xml:space="preserve">TRIM31 antisense RNA 1</t>
  </si>
  <si>
    <t xml:space="preserve">TRMT10C</t>
  </si>
  <si>
    <t xml:space="preserve">TSPEAR-AS1</t>
  </si>
  <si>
    <t xml:space="preserve">TSPEAR antisense RNA 1</t>
  </si>
  <si>
    <t xml:space="preserve">TTLL8</t>
  </si>
  <si>
    <t xml:space="preserve">unclassifiable (Anatomical System);testis;</t>
  </si>
  <si>
    <t xml:space="preserve">dorsal root ganglion;medulla oblongata;superior cervical ganglion;subthalamic nucleus;pons;atrioventricular node;trigeminal ganglion;cerebellum;</t>
  </si>
  <si>
    <t xml:space="preserve">UNC5B</t>
  </si>
  <si>
    <t xml:space="preserve">TISSUE SPECIFICITY: Highly expressed in brain. Also expressed at lower level in developing lung, cartilage, kidney and hematopoietic and immune tissues. {ECO:0000269|PubMed:12359238}.; </t>
  </si>
  <si>
    <t xml:space="preserve">ovary;parathyroid;choroid;skin;uterus;prostate;endometrium;larynx;synovium;bone;testis;brain;unclassifiable (Anatomical System);amygdala;heart;cartilage;islets of Langerhans;adrenal cortex;blood;skeletal muscle;pancreas;lung;placenta;hippocampus;liver;spleen;head and neck;kidney;</t>
  </si>
  <si>
    <t xml:space="preserve">dorsal root ganglion;thalamus;superior cervical ganglion;globus pallidus;ciliary ganglion;caudate nucleus;atrioventricular node;trigeminal ganglion;parietal lobe;cerebellum;</t>
  </si>
  <si>
    <t xml:space="preserve">USF3</t>
  </si>
  <si>
    <t xml:space="preserve">VSIG4</t>
  </si>
  <si>
    <t xml:space="preserve">TISSUE SPECIFICITY: Abundantly expressed in several fetal tissues. In adult tissues, highest expression in lung and placenta. Expressed in resting macrophages. {ECO:0000269|PubMed:11004523, ECO:0000269|PubMed:17016562}.; </t>
  </si>
  <si>
    <t xml:space="preserve">VWA7</t>
  </si>
  <si>
    <t xml:space="preserve">TISSUE SPECIFICITY: Expressed at low level in different cell lines. {ECO:0000269|PubMed:10803853}.; </t>
  </si>
  <si>
    <t xml:space="preserve">ZC3H4</t>
  </si>
  <si>
    <t xml:space="preserve">lymphoreticular;ovary;colon;parathyroid;fovea centralis;choroid;retina;bone marrow;uterus;optic nerve;bone;testis;germinal center;brain;unclassifiable (Anatomical System);lymph node;tongue;islets of Langerhans;blood;lens;breast;pancreas;lung;placenta;macula lutea;visual apparatus;liver;head and neck;kidney;stomach;</t>
  </si>
  <si>
    <t xml:space="preserve">superior cervical ganglion;cerebellum peduncles;prefrontal cortex;testis;ciliary ganglion;atrioventricular node;cingulate cortex;skeletal muscle;cerebellum;thymus;</t>
  </si>
  <si>
    <t xml:space="preserve">ZNF227</t>
  </si>
  <si>
    <t xml:space="preserve">unclassifiable (Anatomical System);heart;colon;parathyroid;skin;skeletal muscle;uterus;breast;pancreas;lung;frontal lobe;endometrium;bone;placenta;duodenum;testis;germinal center;brain;pineal gland;</t>
  </si>
  <si>
    <t xml:space="preserve">superior cervical ganglion;globus pallidus;ciliary ganglion;trigeminal ganglion;</t>
  </si>
  <si>
    <t xml:space="preserve">ZNF283</t>
  </si>
  <si>
    <t xml:space="preserve">TISSUE SPECIFICITY: Detected in prostate, testis, and pancreas. {ECO:0000269|PubMed:12743021}.; </t>
  </si>
  <si>
    <t xml:space="preserve">breast;prostate;whole body;thyroid;liver;spleen;germinal center;brain;bone marrow;</t>
  </si>
  <si>
    <t xml:space="preserve">dorsal root ganglion;testis - interstitial;medulla oblongata;superior cervical ganglion;globus pallidus;ciliary ganglion;pons;caudate nucleus;atrioventricular node;trigeminal ganglion;skeletal muscle;</t>
  </si>
  <si>
    <t xml:space="preserve">ZNF578</t>
  </si>
  <si>
    <t xml:space="preserve">ZNF788</t>
  </si>
  <si>
    <t xml:space="preserve">ZNF841</t>
  </si>
  <si>
    <t xml:space="preserve">prostate;liver;colon;</t>
  </si>
</sst>
</file>

<file path=xl/styles.xml><?xml version="1.0" encoding="utf-8"?>
<styleSheet xmlns="http://schemas.openxmlformats.org/spreadsheetml/2006/main">
  <numFmts count="1">
    <numFmt numFmtId="164" formatCode="General"/>
  </numFmts>
  <fonts count="5">
    <font>
      <sz val="11"/>
      <color rgb="FF000000"/>
      <name val="Calibri"/>
      <family val="2"/>
      <charset val="1"/>
    </font>
    <font>
      <sz val="10"/>
      <name val="Arial"/>
      <family val="0"/>
    </font>
    <font>
      <sz val="10"/>
      <name val="Arial"/>
      <family val="0"/>
    </font>
    <font>
      <sz val="10"/>
      <name val="Arial"/>
      <family val="0"/>
    </font>
    <font>
      <b val="true"/>
      <sz val="11"/>
      <name val="Cambria"/>
      <family val="0"/>
      <charset val="1"/>
    </font>
  </fonts>
  <fills count="7">
    <fill>
      <patternFill patternType="none"/>
    </fill>
    <fill>
      <patternFill patternType="gray125"/>
    </fill>
    <fill>
      <patternFill patternType="solid">
        <fgColor rgb="FF999999"/>
        <bgColor rgb="FF808080"/>
      </patternFill>
    </fill>
    <fill>
      <patternFill patternType="solid">
        <fgColor rgb="FFFFFF00"/>
        <bgColor rgb="FFFFFF00"/>
      </patternFill>
    </fill>
    <fill>
      <patternFill patternType="solid">
        <fgColor rgb="FFCCCCCC"/>
        <bgColor rgb="FFCCCCFF"/>
      </patternFill>
    </fill>
    <fill>
      <patternFill patternType="solid">
        <fgColor rgb="FF81D41A"/>
        <bgColor rgb="FFB2B2B2"/>
      </patternFill>
    </fill>
    <fill>
      <patternFill patternType="solid">
        <fgColor rgb="FFB2B2B2"/>
        <bgColor rgb="FF999999"/>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top"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B2B2B2"/>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436"/>
  <sheetViews>
    <sheetView showFormulas="false" showGridLines="true" showRowColHeaders="true" showZeros="true" rightToLeft="false" tabSelected="true" showOutlineSymbols="true" defaultGridColor="true" view="normal" topLeftCell="A421" colorId="64" zoomScale="100" zoomScaleNormal="100" zoomScalePageLayoutView="100" workbookViewId="0">
      <selection pane="topLeft" activeCell="A303" activeCellId="0" sqref="302:303"/>
    </sheetView>
  </sheetViews>
  <sheetFormatPr defaultColWidth="8.6953125" defaultRowHeight="15" zeroHeight="false" outlineLevelRow="0" outlineLevelCol="0"/>
  <cols>
    <col collapsed="false" customWidth="true" hidden="false" outlineLevel="0" max="13" min="13" style="0" width="43.9"/>
    <col collapsed="false" customWidth="true" hidden="false" outlineLevel="0" max="16" min="16" style="0" width="25.14"/>
    <col collapsed="false" customWidth="true" hidden="false" outlineLevel="0" max="27" min="27" style="0" width="20.7"/>
    <col collapsed="false" customWidth="true" hidden="false" outlineLevel="0" max="28" min="28" style="0" width="25.41"/>
    <col collapsed="false" customWidth="true" hidden="false" outlineLevel="0" max="34" min="34" style="0" width="96.7"/>
  </cols>
  <sheetData>
    <row r="1" customFormat="false" ht="15" hidden="false" customHeight="fals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row>
    <row r="2" customFormat="false" ht="15" hidden="false" customHeight="false" outlineLevel="0" collapsed="false">
      <c r="B2" s="0" t="str">
        <f aca="false">HYPERLINK("https://genome.ucsc.edu/cgi-bin/hgTracks?db=hg19&amp;position=chr7%3A42063224%2D42063224", "chr7:42063224")</f>
        <v>chr7:42063224</v>
      </c>
      <c r="C2" s="0" t="s">
        <v>38</v>
      </c>
      <c r="D2" s="0" t="n">
        <v>42063224</v>
      </c>
      <c r="E2" s="0" t="n">
        <v>42063224</v>
      </c>
      <c r="F2" s="0" t="s">
        <v>39</v>
      </c>
      <c r="G2" s="0" t="s">
        <v>40</v>
      </c>
      <c r="H2" s="0" t="s">
        <v>41</v>
      </c>
      <c r="I2" s="0" t="s">
        <v>42</v>
      </c>
      <c r="J2" s="0" t="s">
        <v>43</v>
      </c>
      <c r="K2" s="0" t="s">
        <v>44</v>
      </c>
      <c r="L2" s="0" t="str">
        <f aca="false">HYPERLINK("https://www.ncbi.nlm.nih.gov/snp/rs190600888", "rs190600888")</f>
        <v>rs190600888</v>
      </c>
      <c r="M2" s="0" t="str">
        <f aca="false">HYPERLINK("https://www.genecards.org/Search/Keyword?queryString=%5Baliases%5D(%20GLI3%20)&amp;keywords=GLI3", "GLI3")</f>
        <v>GLI3</v>
      </c>
      <c r="N2" s="0" t="s">
        <v>45</v>
      </c>
      <c r="O2" s="0" t="s">
        <v>46</v>
      </c>
      <c r="P2" s="0" t="s">
        <v>46</v>
      </c>
      <c r="Q2" s="0" t="n">
        <v>0.0065</v>
      </c>
      <c r="R2" s="0" t="n">
        <v>0.0081</v>
      </c>
      <c r="S2" s="0" t="n">
        <v>0.0065</v>
      </c>
      <c r="T2" s="0" t="n">
        <v>-1</v>
      </c>
      <c r="U2" s="0" t="n">
        <v>0.0119</v>
      </c>
      <c r="V2" s="0" t="s">
        <v>46</v>
      </c>
      <c r="W2" s="0" t="s">
        <v>46</v>
      </c>
      <c r="X2" s="0" t="s">
        <v>47</v>
      </c>
      <c r="Y2" s="0" t="s">
        <v>48</v>
      </c>
      <c r="Z2" s="0" t="s">
        <v>46</v>
      </c>
      <c r="AA2" s="0" t="s">
        <v>46</v>
      </c>
      <c r="AB2" s="0" t="s">
        <v>49</v>
      </c>
      <c r="AC2" s="0" t="s">
        <v>50</v>
      </c>
      <c r="AD2" s="0" t="s">
        <v>51</v>
      </c>
      <c r="AE2" s="0" t="s">
        <v>52</v>
      </c>
      <c r="AF2" s="0" t="s">
        <v>53</v>
      </c>
      <c r="AG2" s="0" t="s">
        <v>54</v>
      </c>
      <c r="AH2" s="0" t="s">
        <v>55</v>
      </c>
      <c r="AI2" s="0" t="s">
        <v>46</v>
      </c>
      <c r="AJ2" s="0" t="s">
        <v>46</v>
      </c>
      <c r="AK2" s="0" t="s">
        <v>46</v>
      </c>
      <c r="AL2" s="0" t="s">
        <v>46</v>
      </c>
    </row>
    <row r="3" customFormat="false" ht="15" hidden="false" customHeight="false" outlineLevel="0" collapsed="false">
      <c r="B3" s="0" t="str">
        <f aca="false">HYPERLINK("https://genome.ucsc.edu/cgi-bin/hgTracks?db=hg19&amp;position=chr4%3A187476360%2D187476360", "chr4:187476360")</f>
        <v>chr4:187476360</v>
      </c>
      <c r="C3" s="0" t="s">
        <v>56</v>
      </c>
      <c r="D3" s="0" t="n">
        <v>187476360</v>
      </c>
      <c r="E3" s="0" t="n">
        <v>187476360</v>
      </c>
      <c r="F3" s="0" t="s">
        <v>39</v>
      </c>
      <c r="G3" s="0" t="s">
        <v>57</v>
      </c>
      <c r="H3" s="0" t="s">
        <v>58</v>
      </c>
      <c r="I3" s="0" t="s">
        <v>59</v>
      </c>
      <c r="J3" s="0" t="s">
        <v>60</v>
      </c>
      <c r="K3" s="0" t="s">
        <v>61</v>
      </c>
      <c r="L3" s="0" t="str">
        <f aca="false">HYPERLINK("https://www.ncbi.nlm.nih.gov/snp/rs1800885", "rs1800885")</f>
        <v>rs1800885</v>
      </c>
      <c r="M3" s="0" t="str">
        <f aca="false">HYPERLINK("https://www.genecards.org/Search/Keyword?queryString=%5Baliases%5D(%20MTNR1A%20)&amp;keywords=MTNR1A", "MTNR1A")</f>
        <v>MTNR1A</v>
      </c>
      <c r="N3" s="0" t="s">
        <v>62</v>
      </c>
      <c r="O3" s="0" t="s">
        <v>63</v>
      </c>
      <c r="P3" s="0" t="s">
        <v>64</v>
      </c>
      <c r="Q3" s="0" t="n">
        <v>0.0109</v>
      </c>
      <c r="R3" s="0" t="n">
        <v>0.0007</v>
      </c>
      <c r="S3" s="0" t="n">
        <v>0.0006</v>
      </c>
      <c r="T3" s="0" t="n">
        <v>-1</v>
      </c>
      <c r="U3" s="0" t="n">
        <v>0.0011</v>
      </c>
      <c r="V3" s="0" t="s">
        <v>65</v>
      </c>
      <c r="W3" s="0" t="s">
        <v>46</v>
      </c>
      <c r="X3" s="0" t="s">
        <v>46</v>
      </c>
      <c r="Y3" s="0" t="s">
        <v>46</v>
      </c>
      <c r="Z3" s="0" t="s">
        <v>66</v>
      </c>
      <c r="AA3" s="0" t="s">
        <v>67</v>
      </c>
      <c r="AB3" s="0" t="s">
        <v>46</v>
      </c>
      <c r="AC3" s="0" t="s">
        <v>50</v>
      </c>
      <c r="AD3" s="0" t="s">
        <v>51</v>
      </c>
      <c r="AE3" s="0" t="s">
        <v>68</v>
      </c>
      <c r="AF3" s="0" t="s">
        <v>69</v>
      </c>
      <c r="AG3" s="0" t="s">
        <v>70</v>
      </c>
      <c r="AH3" s="0" t="s">
        <v>46</v>
      </c>
      <c r="AI3" s="0" t="s">
        <v>46</v>
      </c>
      <c r="AJ3" s="0" t="s">
        <v>46</v>
      </c>
      <c r="AK3" s="0" t="s">
        <v>46</v>
      </c>
      <c r="AL3" s="0" t="s">
        <v>46</v>
      </c>
    </row>
    <row r="4" customFormat="false" ht="15" hidden="false" customHeight="false" outlineLevel="0" collapsed="false">
      <c r="B4" s="0" t="str">
        <f aca="false">HYPERLINK("https://genome.ucsc.edu/cgi-bin/hgTracks?db=hg19&amp;position=chr2%3A209302328%2D209302328", "chr2:209302328")</f>
        <v>chr2:209302328</v>
      </c>
      <c r="C4" s="0" t="s">
        <v>71</v>
      </c>
      <c r="D4" s="0" t="n">
        <v>209302328</v>
      </c>
      <c r="E4" s="0" t="n">
        <v>209302328</v>
      </c>
      <c r="F4" s="0" t="s">
        <v>40</v>
      </c>
      <c r="G4" s="0" t="s">
        <v>57</v>
      </c>
      <c r="H4" s="0" t="s">
        <v>72</v>
      </c>
      <c r="I4" s="0" t="s">
        <v>73</v>
      </c>
      <c r="J4" s="0" t="s">
        <v>74</v>
      </c>
      <c r="K4" s="0" t="s">
        <v>75</v>
      </c>
      <c r="L4" s="0" t="str">
        <f aca="false">HYPERLINK("https://www.ncbi.nlm.nih.gov/snp/rs61742329", "rs61742329")</f>
        <v>rs61742329</v>
      </c>
      <c r="M4" s="0" t="str">
        <f aca="false">HYPERLINK("https://www.genecards.org/Search/Keyword?queryString=%5Baliases%5D(%20PTH2R%20)&amp;keywords=PTH2R", "PTH2R")</f>
        <v>PTH2R</v>
      </c>
      <c r="N4" s="0" t="s">
        <v>62</v>
      </c>
      <c r="O4" s="0" t="s">
        <v>76</v>
      </c>
      <c r="P4" s="0" t="s">
        <v>77</v>
      </c>
      <c r="Q4" s="0" t="n">
        <v>0.0202</v>
      </c>
      <c r="R4" s="0" t="n">
        <v>0.0191</v>
      </c>
      <c r="S4" s="0" t="n">
        <v>0.0204</v>
      </c>
      <c r="T4" s="0" t="n">
        <v>-1</v>
      </c>
      <c r="U4" s="0" t="n">
        <v>0.0147</v>
      </c>
      <c r="V4" s="0" t="s">
        <v>78</v>
      </c>
      <c r="W4" s="0" t="s">
        <v>46</v>
      </c>
      <c r="X4" s="0" t="s">
        <v>46</v>
      </c>
      <c r="Y4" s="0" t="s">
        <v>46</v>
      </c>
      <c r="Z4" s="0" t="s">
        <v>66</v>
      </c>
      <c r="AA4" s="0" t="s">
        <v>67</v>
      </c>
      <c r="AB4" s="0" t="s">
        <v>46</v>
      </c>
      <c r="AC4" s="0" t="s">
        <v>50</v>
      </c>
      <c r="AD4" s="0" t="s">
        <v>51</v>
      </c>
      <c r="AE4" s="0" t="s">
        <v>79</v>
      </c>
      <c r="AF4" s="0" t="s">
        <v>80</v>
      </c>
      <c r="AG4" s="0" t="s">
        <v>81</v>
      </c>
      <c r="AH4" s="0" t="s">
        <v>46</v>
      </c>
      <c r="AI4" s="0" t="s">
        <v>46</v>
      </c>
      <c r="AJ4" s="0" t="s">
        <v>46</v>
      </c>
      <c r="AK4" s="0" t="s">
        <v>46</v>
      </c>
      <c r="AL4" s="0" t="s">
        <v>46</v>
      </c>
    </row>
    <row r="5" customFormat="false" ht="15" hidden="false" customHeight="false" outlineLevel="0" collapsed="false">
      <c r="B5" s="0" t="str">
        <f aca="false">HYPERLINK("https://genome.ucsc.edu/cgi-bin/hgTracks?db=hg19&amp;position=chr2%3A46603764%2D46603764", "chr2:46603764")</f>
        <v>chr2:46603764</v>
      </c>
      <c r="C5" s="0" t="s">
        <v>71</v>
      </c>
      <c r="D5" s="0" t="n">
        <v>46603764</v>
      </c>
      <c r="E5" s="0" t="n">
        <v>46603764</v>
      </c>
      <c r="F5" s="0" t="s">
        <v>82</v>
      </c>
      <c r="G5" s="0" t="s">
        <v>57</v>
      </c>
      <c r="H5" s="0" t="s">
        <v>83</v>
      </c>
      <c r="I5" s="0" t="s">
        <v>84</v>
      </c>
      <c r="J5" s="0" t="s">
        <v>85</v>
      </c>
      <c r="K5" s="0" t="s">
        <v>86</v>
      </c>
      <c r="L5" s="0" t="str">
        <f aca="false">HYPERLINK("https://www.ncbi.nlm.nih.gov/snp/rs150797491", "rs150797491")</f>
        <v>rs150797491</v>
      </c>
      <c r="M5" s="0" t="str">
        <f aca="false">HYPERLINK("https://www.genecards.org/Search/Keyword?queryString=%5Baliases%5D(%20EPAS1%20)&amp;keywords=EPAS1", "EPAS1")</f>
        <v>EPAS1</v>
      </c>
      <c r="N5" s="0" t="s">
        <v>62</v>
      </c>
      <c r="O5" s="0" t="s">
        <v>63</v>
      </c>
      <c r="P5" s="0" t="s">
        <v>87</v>
      </c>
      <c r="Q5" s="0" t="n">
        <v>0.0106</v>
      </c>
      <c r="R5" s="0" t="n">
        <v>0.0086</v>
      </c>
      <c r="S5" s="0" t="n">
        <v>0.0108</v>
      </c>
      <c r="T5" s="0" t="n">
        <v>-1</v>
      </c>
      <c r="U5" s="0" t="n">
        <v>0.0043</v>
      </c>
      <c r="V5" s="0" t="s">
        <v>88</v>
      </c>
      <c r="W5" s="0" t="s">
        <v>46</v>
      </c>
      <c r="X5" s="0" t="s">
        <v>46</v>
      </c>
      <c r="Y5" s="0" t="s">
        <v>46</v>
      </c>
      <c r="Z5" s="0" t="s">
        <v>89</v>
      </c>
      <c r="AA5" s="0" t="s">
        <v>90</v>
      </c>
      <c r="AB5" s="0" t="s">
        <v>91</v>
      </c>
      <c r="AC5" s="0" t="s">
        <v>50</v>
      </c>
      <c r="AD5" s="0" t="s">
        <v>51</v>
      </c>
      <c r="AE5" s="0" t="s">
        <v>92</v>
      </c>
      <c r="AF5" s="0" t="s">
        <v>93</v>
      </c>
      <c r="AG5" s="0" t="s">
        <v>94</v>
      </c>
      <c r="AH5" s="0" t="s">
        <v>95</v>
      </c>
      <c r="AI5" s="0" t="s">
        <v>46</v>
      </c>
      <c r="AJ5" s="0" t="s">
        <v>46</v>
      </c>
      <c r="AK5" s="0" t="s">
        <v>46</v>
      </c>
      <c r="AL5" s="0" t="s">
        <v>46</v>
      </c>
    </row>
    <row r="6" customFormat="false" ht="15" hidden="false" customHeight="false" outlineLevel="0" collapsed="false">
      <c r="B6" s="0" t="str">
        <f aca="false">HYPERLINK("https://genome.ucsc.edu/cgi-bin/hgTracks?db=hg19&amp;position=chr5%3A1254594%2D1254594", "chr5:1254594")</f>
        <v>chr5:1254594</v>
      </c>
      <c r="C6" s="0" t="s">
        <v>96</v>
      </c>
      <c r="D6" s="0" t="n">
        <v>1254594</v>
      </c>
      <c r="E6" s="0" t="n">
        <v>1254594</v>
      </c>
      <c r="F6" s="0" t="s">
        <v>40</v>
      </c>
      <c r="G6" s="0" t="s">
        <v>82</v>
      </c>
      <c r="H6" s="0" t="s">
        <v>97</v>
      </c>
      <c r="I6" s="0" t="s">
        <v>98</v>
      </c>
      <c r="J6" s="0" t="s">
        <v>99</v>
      </c>
      <c r="K6" s="0" t="s">
        <v>100</v>
      </c>
      <c r="L6" s="0" t="str">
        <f aca="false">HYPERLINK("https://www.ncbi.nlm.nih.gov/snp/rs35719940", "rs35719940")</f>
        <v>rs35719940</v>
      </c>
      <c r="M6" s="0" t="str">
        <f aca="false">HYPERLINK("https://www.genecards.org/Search/Keyword?queryString=%5Baliases%5D(%20TERT%20)&amp;keywords=TERT", "TERT")</f>
        <v>TERT</v>
      </c>
      <c r="N6" s="0" t="s">
        <v>62</v>
      </c>
      <c r="O6" s="0" t="s">
        <v>63</v>
      </c>
      <c r="P6" s="0" t="s">
        <v>101</v>
      </c>
      <c r="Q6" s="0" t="n">
        <v>0.0219</v>
      </c>
      <c r="R6" s="0" t="n">
        <v>0.0191</v>
      </c>
      <c r="S6" s="0" t="n">
        <v>0.0197</v>
      </c>
      <c r="T6" s="0" t="n">
        <v>-1</v>
      </c>
      <c r="U6" s="0" t="n">
        <v>0.0183</v>
      </c>
      <c r="V6" s="0" t="s">
        <v>102</v>
      </c>
      <c r="W6" s="0" t="s">
        <v>46</v>
      </c>
      <c r="X6" s="0" t="s">
        <v>46</v>
      </c>
      <c r="Y6" s="0" t="s">
        <v>46</v>
      </c>
      <c r="Z6" s="0" t="s">
        <v>66</v>
      </c>
      <c r="AA6" s="0" t="s">
        <v>90</v>
      </c>
      <c r="AB6" s="0" t="s">
        <v>91</v>
      </c>
      <c r="AC6" s="0" t="s">
        <v>50</v>
      </c>
      <c r="AD6" s="0" t="s">
        <v>51</v>
      </c>
      <c r="AE6" s="0" t="s">
        <v>103</v>
      </c>
      <c r="AF6" s="0" t="s">
        <v>104</v>
      </c>
      <c r="AG6" s="0" t="s">
        <v>105</v>
      </c>
      <c r="AH6" s="0" t="s">
        <v>106</v>
      </c>
      <c r="AI6" s="0" t="s">
        <v>46</v>
      </c>
      <c r="AJ6" s="0" t="s">
        <v>46</v>
      </c>
      <c r="AK6" s="0" t="s">
        <v>46</v>
      </c>
      <c r="AL6" s="0" t="s">
        <v>46</v>
      </c>
    </row>
    <row r="7" customFormat="false" ht="15" hidden="false" customHeight="false" outlineLevel="0" collapsed="false">
      <c r="B7" s="0" t="str">
        <f aca="false">HYPERLINK("https://genome.ucsc.edu/cgi-bin/hgTracks?db=hg19&amp;position=chr22%3A36682873%2D36682873", "chr22:36682873")</f>
        <v>chr22:36682873</v>
      </c>
      <c r="C7" s="0" t="s">
        <v>107</v>
      </c>
      <c r="D7" s="0" t="n">
        <v>36682873</v>
      </c>
      <c r="E7" s="0" t="n">
        <v>36682873</v>
      </c>
      <c r="F7" s="0" t="s">
        <v>57</v>
      </c>
      <c r="G7" s="0" t="s">
        <v>39</v>
      </c>
      <c r="H7" s="0" t="s">
        <v>108</v>
      </c>
      <c r="I7" s="0" t="s">
        <v>109</v>
      </c>
      <c r="J7" s="0" t="s">
        <v>110</v>
      </c>
      <c r="K7" s="0" t="s">
        <v>111</v>
      </c>
      <c r="L7" s="0" t="str">
        <f aca="false">HYPERLINK("https://www.ncbi.nlm.nih.gov/snp/rs142094977", "rs142094977")</f>
        <v>rs142094977</v>
      </c>
      <c r="M7" s="0" t="str">
        <f aca="false">HYPERLINK("https://www.genecards.org/Search/Keyword?queryString=%5Baliases%5D(%20MYH9%20)&amp;keywords=MYH9", "MYH9")</f>
        <v>MYH9</v>
      </c>
      <c r="N7" s="0" t="s">
        <v>62</v>
      </c>
      <c r="O7" s="0" t="s">
        <v>63</v>
      </c>
      <c r="P7" s="0" t="s">
        <v>112</v>
      </c>
      <c r="Q7" s="0" t="n">
        <v>0.0071</v>
      </c>
      <c r="R7" s="0" t="n">
        <v>0.0094</v>
      </c>
      <c r="S7" s="0" t="n">
        <v>0.0076</v>
      </c>
      <c r="T7" s="0" t="n">
        <v>-1</v>
      </c>
      <c r="U7" s="0" t="n">
        <v>0.0161</v>
      </c>
      <c r="V7" s="0" t="s">
        <v>113</v>
      </c>
      <c r="W7" s="0" t="s">
        <v>46</v>
      </c>
      <c r="X7" s="0" t="s">
        <v>46</v>
      </c>
      <c r="Y7" s="0" t="s">
        <v>46</v>
      </c>
      <c r="Z7" s="0" t="s">
        <v>114</v>
      </c>
      <c r="AA7" s="0" t="s">
        <v>90</v>
      </c>
      <c r="AB7" s="0" t="s">
        <v>91</v>
      </c>
      <c r="AC7" s="0" t="s">
        <v>50</v>
      </c>
      <c r="AD7" s="0" t="s">
        <v>51</v>
      </c>
      <c r="AE7" s="0" t="s">
        <v>115</v>
      </c>
      <c r="AF7" s="0" t="s">
        <v>116</v>
      </c>
      <c r="AG7" s="0" t="s">
        <v>117</v>
      </c>
      <c r="AH7" s="0" t="s">
        <v>118</v>
      </c>
      <c r="AI7" s="0" t="s">
        <v>46</v>
      </c>
      <c r="AJ7" s="0" t="s">
        <v>46</v>
      </c>
      <c r="AK7" s="0" t="s">
        <v>46</v>
      </c>
      <c r="AL7" s="0" t="s">
        <v>46</v>
      </c>
    </row>
    <row r="8" customFormat="false" ht="15" hidden="false" customHeight="false" outlineLevel="0" collapsed="false">
      <c r="B8" s="0" t="str">
        <f aca="false">HYPERLINK("https://genome.ucsc.edu/cgi-bin/hgTracks?db=hg19&amp;position=chr1%3A15772212%2D15772212", "chr1:15772212")</f>
        <v>chr1:15772212</v>
      </c>
      <c r="C8" s="0" t="s">
        <v>119</v>
      </c>
      <c r="D8" s="0" t="n">
        <v>15772212</v>
      </c>
      <c r="E8" s="0" t="n">
        <v>15772212</v>
      </c>
      <c r="F8" s="0" t="s">
        <v>40</v>
      </c>
      <c r="G8" s="0" t="s">
        <v>82</v>
      </c>
      <c r="H8" s="0" t="s">
        <v>120</v>
      </c>
      <c r="I8" s="0" t="s">
        <v>121</v>
      </c>
      <c r="J8" s="0" t="s">
        <v>122</v>
      </c>
      <c r="K8" s="0" t="s">
        <v>123</v>
      </c>
      <c r="L8" s="0" t="str">
        <f aca="false">HYPERLINK("https://www.ncbi.nlm.nih.gov/snp/rs121909293", "rs121909293")</f>
        <v>rs121909293</v>
      </c>
      <c r="M8" s="0" t="str">
        <f aca="false">HYPERLINK("https://www.genecards.org/Search/Keyword?queryString=%5Baliases%5D(%20CTRC%20)&amp;keywords=CTRC", "CTRC")</f>
        <v>CTRC</v>
      </c>
      <c r="N8" s="0" t="s">
        <v>62</v>
      </c>
      <c r="O8" s="0" t="s">
        <v>63</v>
      </c>
      <c r="P8" s="0" t="s">
        <v>124</v>
      </c>
      <c r="Q8" s="0" t="n">
        <v>0.0239</v>
      </c>
      <c r="R8" s="0" t="n">
        <v>0.0078</v>
      </c>
      <c r="S8" s="0" t="n">
        <v>0.0066</v>
      </c>
      <c r="T8" s="0" t="n">
        <v>-1</v>
      </c>
      <c r="U8" s="0" t="n">
        <v>0.0107</v>
      </c>
      <c r="V8" s="0" t="s">
        <v>125</v>
      </c>
      <c r="W8" s="0" t="s">
        <v>46</v>
      </c>
      <c r="X8" s="0" t="s">
        <v>46</v>
      </c>
      <c r="Y8" s="0" t="s">
        <v>46</v>
      </c>
      <c r="Z8" s="0" t="s">
        <v>126</v>
      </c>
      <c r="AA8" s="0" t="s">
        <v>67</v>
      </c>
      <c r="AB8" s="0" t="s">
        <v>127</v>
      </c>
      <c r="AC8" s="0" t="s">
        <v>50</v>
      </c>
      <c r="AD8" s="0" t="s">
        <v>51</v>
      </c>
      <c r="AE8" s="0" t="s">
        <v>128</v>
      </c>
      <c r="AF8" s="0" t="s">
        <v>129</v>
      </c>
      <c r="AG8" s="0" t="s">
        <v>130</v>
      </c>
      <c r="AH8" s="0" t="s">
        <v>46</v>
      </c>
      <c r="AI8" s="0" t="s">
        <v>46</v>
      </c>
      <c r="AJ8" s="0" t="s">
        <v>46</v>
      </c>
      <c r="AK8" s="0" t="s">
        <v>46</v>
      </c>
      <c r="AL8" s="0" t="s">
        <v>46</v>
      </c>
    </row>
    <row r="9" customFormat="false" ht="15" hidden="false" customHeight="false" outlineLevel="0" collapsed="false">
      <c r="B9" s="0" t="str">
        <f aca="false">HYPERLINK("https://genome.ucsc.edu/cgi-bin/hgTracks?db=hg19&amp;position=chr6%3A146056472%2D146056472", "chr6:146056472")</f>
        <v>chr6:146056472</v>
      </c>
      <c r="C9" s="0" t="s">
        <v>131</v>
      </c>
      <c r="D9" s="0" t="n">
        <v>146056472</v>
      </c>
      <c r="E9" s="0" t="n">
        <v>146056472</v>
      </c>
      <c r="F9" s="0" t="s">
        <v>39</v>
      </c>
      <c r="G9" s="0" t="s">
        <v>82</v>
      </c>
      <c r="H9" s="0" t="s">
        <v>132</v>
      </c>
      <c r="I9" s="0" t="s">
        <v>133</v>
      </c>
      <c r="J9" s="0" t="s">
        <v>134</v>
      </c>
      <c r="K9" s="0" t="s">
        <v>135</v>
      </c>
      <c r="L9" s="0" t="str">
        <f aca="false">HYPERLINK("https://www.ncbi.nlm.nih.gov/snp/rs187930476", "rs187930476")</f>
        <v>rs187930476</v>
      </c>
      <c r="M9" s="0" t="str">
        <f aca="false">HYPERLINK("https://www.genecards.org/Search/Keyword?queryString=%5Baliases%5D(%20EPM2A%20)&amp;keywords=EPM2A", "EPM2A")</f>
        <v>EPM2A</v>
      </c>
      <c r="N9" s="0" t="s">
        <v>62</v>
      </c>
      <c r="O9" s="0" t="s">
        <v>63</v>
      </c>
      <c r="P9" s="0" t="s">
        <v>136</v>
      </c>
      <c r="Q9" s="0" t="n">
        <v>0.025641</v>
      </c>
      <c r="R9" s="0" t="n">
        <v>0.0153</v>
      </c>
      <c r="S9" s="0" t="n">
        <v>0.0163</v>
      </c>
      <c r="T9" s="0" t="n">
        <v>-1</v>
      </c>
      <c r="U9" s="0" t="n">
        <v>0.0149</v>
      </c>
      <c r="V9" s="0" t="s">
        <v>65</v>
      </c>
      <c r="W9" s="0" t="s">
        <v>46</v>
      </c>
      <c r="X9" s="0" t="s">
        <v>46</v>
      </c>
      <c r="Y9" s="0" t="s">
        <v>46</v>
      </c>
      <c r="Z9" s="0" t="s">
        <v>126</v>
      </c>
      <c r="AA9" s="0" t="s">
        <v>90</v>
      </c>
      <c r="AB9" s="0" t="s">
        <v>91</v>
      </c>
      <c r="AC9" s="0" t="s">
        <v>50</v>
      </c>
      <c r="AD9" s="0" t="s">
        <v>51</v>
      </c>
      <c r="AE9" s="0" t="s">
        <v>137</v>
      </c>
      <c r="AF9" s="0" t="s">
        <v>138</v>
      </c>
      <c r="AG9" s="0" t="s">
        <v>46</v>
      </c>
      <c r="AH9" s="0" t="s">
        <v>46</v>
      </c>
      <c r="AI9" s="0" t="s">
        <v>46</v>
      </c>
      <c r="AJ9" s="0" t="s">
        <v>46</v>
      </c>
      <c r="AK9" s="0" t="s">
        <v>46</v>
      </c>
      <c r="AL9" s="0" t="s">
        <v>46</v>
      </c>
    </row>
    <row r="10" s="2" customFormat="true" ht="15" hidden="false" customHeight="false" outlineLevel="0" collapsed="false">
      <c r="B10" s="2" t="str">
        <f aca="false">HYPERLINK("https://genome.ucsc.edu/cgi-bin/hgTracks?db=hg19&amp;position=chr13%3A32912750%2D32912750", "chr13:32912750")</f>
        <v>chr13:32912750</v>
      </c>
      <c r="C10" s="2" t="s">
        <v>139</v>
      </c>
      <c r="D10" s="2" t="n">
        <v>32912750</v>
      </c>
      <c r="E10" s="2" t="n">
        <v>32912750</v>
      </c>
      <c r="F10" s="2" t="s">
        <v>39</v>
      </c>
      <c r="G10" s="2" t="s">
        <v>82</v>
      </c>
      <c r="H10" s="2" t="s">
        <v>140</v>
      </c>
      <c r="I10" s="2" t="s">
        <v>141</v>
      </c>
      <c r="J10" s="2" t="s">
        <v>142</v>
      </c>
      <c r="K10" s="2" t="s">
        <v>143</v>
      </c>
      <c r="L10" s="2" t="str">
        <f aca="false">HYPERLINK("https://www.ncbi.nlm.nih.gov/snp/rs28897727", "rs28897727")</f>
        <v>rs28897727</v>
      </c>
      <c r="M10" s="2" t="str">
        <f aca="false">HYPERLINK("https://www.genecards.org/Search/Keyword?queryString=%5Baliases%5D(%20BRCA2%20)&amp;keywords=BRCA2", "BRCA2")</f>
        <v>BRCA2</v>
      </c>
      <c r="N10" s="2" t="s">
        <v>62</v>
      </c>
      <c r="O10" s="2" t="s">
        <v>63</v>
      </c>
      <c r="P10" s="2" t="s">
        <v>144</v>
      </c>
      <c r="Q10" s="2" t="n">
        <v>0.0199</v>
      </c>
      <c r="R10" s="2" t="n">
        <v>0.0104</v>
      </c>
      <c r="S10" s="2" t="n">
        <v>0.0099</v>
      </c>
      <c r="T10" s="2" t="n">
        <v>-1</v>
      </c>
      <c r="U10" s="2" t="n">
        <v>0.0118</v>
      </c>
      <c r="V10" s="2" t="s">
        <v>145</v>
      </c>
      <c r="W10" s="2" t="s">
        <v>46</v>
      </c>
      <c r="X10" s="2" t="s">
        <v>46</v>
      </c>
      <c r="Y10" s="2" t="s">
        <v>46</v>
      </c>
      <c r="Z10" s="2" t="s">
        <v>66</v>
      </c>
      <c r="AA10" s="2" t="s">
        <v>146</v>
      </c>
      <c r="AB10" s="2" t="s">
        <v>146</v>
      </c>
      <c r="AC10" s="2" t="s">
        <v>50</v>
      </c>
      <c r="AD10" s="2" t="s">
        <v>147</v>
      </c>
      <c r="AE10" s="2" t="s">
        <v>148</v>
      </c>
      <c r="AF10" s="2" t="s">
        <v>149</v>
      </c>
      <c r="AG10" s="2" t="s">
        <v>150</v>
      </c>
      <c r="AH10" s="2" t="s">
        <v>151</v>
      </c>
      <c r="AI10" s="2" t="s">
        <v>46</v>
      </c>
      <c r="AJ10" s="2" t="s">
        <v>46</v>
      </c>
      <c r="AK10" s="2" t="s">
        <v>46</v>
      </c>
      <c r="AL10" s="2" t="s">
        <v>46</v>
      </c>
    </row>
    <row r="11" customFormat="false" ht="15" hidden="false" customHeight="false" outlineLevel="0" collapsed="false">
      <c r="B11" s="0" t="str">
        <f aca="false">HYPERLINK("https://genome.ucsc.edu/cgi-bin/hgTracks?db=hg19&amp;position=chr20%3A60884427%2D60884427", "chr20:60884427")</f>
        <v>chr20:60884427</v>
      </c>
      <c r="C11" s="0" t="s">
        <v>152</v>
      </c>
      <c r="D11" s="0" t="n">
        <v>60884427</v>
      </c>
      <c r="E11" s="0" t="n">
        <v>60884427</v>
      </c>
      <c r="F11" s="0" t="s">
        <v>40</v>
      </c>
      <c r="G11" s="0" t="s">
        <v>82</v>
      </c>
      <c r="H11" s="0" t="s">
        <v>153</v>
      </c>
      <c r="I11" s="0" t="s">
        <v>154</v>
      </c>
      <c r="J11" s="0" t="s">
        <v>155</v>
      </c>
      <c r="K11" s="0" t="s">
        <v>156</v>
      </c>
      <c r="L11" s="0" t="str">
        <f aca="false">HYPERLINK("https://www.ncbi.nlm.nih.gov/snp/rs138468519", "rs138468519")</f>
        <v>rs138468519</v>
      </c>
      <c r="M11" s="0" t="str">
        <f aca="false">HYPERLINK("https://www.genecards.org/Search/Keyword?queryString=%5Baliases%5D(%20LAMA5%20)&amp;keywords=LAMA5", "LAMA5")</f>
        <v>LAMA5</v>
      </c>
      <c r="N11" s="0" t="s">
        <v>62</v>
      </c>
      <c r="O11" s="0" t="s">
        <v>63</v>
      </c>
      <c r="P11" s="0" t="s">
        <v>157</v>
      </c>
      <c r="Q11" s="0" t="n">
        <v>0.017544</v>
      </c>
      <c r="R11" s="0" t="n">
        <v>0.0112</v>
      </c>
      <c r="S11" s="0" t="n">
        <v>0.0121</v>
      </c>
      <c r="T11" s="0" t="n">
        <v>-1</v>
      </c>
      <c r="U11" s="0" t="n">
        <v>0.0113</v>
      </c>
      <c r="V11" s="0" t="s">
        <v>125</v>
      </c>
      <c r="W11" s="0" t="s">
        <v>46</v>
      </c>
      <c r="X11" s="0" t="s">
        <v>46</v>
      </c>
      <c r="Y11" s="0" t="s">
        <v>46</v>
      </c>
      <c r="Z11" s="0" t="s">
        <v>158</v>
      </c>
      <c r="AA11" s="0" t="s">
        <v>67</v>
      </c>
      <c r="AB11" s="0" t="s">
        <v>159</v>
      </c>
      <c r="AC11" s="0" t="s">
        <v>50</v>
      </c>
      <c r="AD11" s="0" t="s">
        <v>51</v>
      </c>
      <c r="AE11" s="0" t="s">
        <v>160</v>
      </c>
      <c r="AF11" s="0" t="s">
        <v>161</v>
      </c>
      <c r="AG11" s="0" t="s">
        <v>162</v>
      </c>
      <c r="AH11" s="0" t="s">
        <v>46</v>
      </c>
      <c r="AI11" s="0" t="s">
        <v>46</v>
      </c>
      <c r="AJ11" s="0" t="s">
        <v>46</v>
      </c>
      <c r="AK11" s="0" t="s">
        <v>46</v>
      </c>
      <c r="AL11" s="0" t="s">
        <v>46</v>
      </c>
    </row>
    <row r="12" s="3" customFormat="true" ht="15" hidden="false" customHeight="false" outlineLevel="0" collapsed="false">
      <c r="B12" s="3" t="str">
        <f aca="false">HYPERLINK("https://genome.ucsc.edu/cgi-bin/hgTracks?db=hg19&amp;position=chr1%3A114372214%2D114372214", "chr1:114372214")</f>
        <v>chr1:114372214</v>
      </c>
      <c r="C12" s="3" t="s">
        <v>119</v>
      </c>
      <c r="D12" s="3" t="n">
        <v>114372214</v>
      </c>
      <c r="E12" s="3" t="n">
        <v>114372214</v>
      </c>
      <c r="F12" s="3" t="s">
        <v>40</v>
      </c>
      <c r="G12" s="3" t="s">
        <v>39</v>
      </c>
      <c r="H12" s="3" t="s">
        <v>163</v>
      </c>
      <c r="I12" s="3" t="s">
        <v>164</v>
      </c>
      <c r="J12" s="3" t="s">
        <v>165</v>
      </c>
      <c r="K12" s="3" t="s">
        <v>46</v>
      </c>
      <c r="L12" s="3" t="str">
        <f aca="false">HYPERLINK("https://www.ncbi.nlm.nih.gov/snp/rs56048322", "rs56048322")</f>
        <v>rs56048322</v>
      </c>
      <c r="M12" s="3" t="str">
        <f aca="false">HYPERLINK("https://www.genecards.org/Search/Keyword?queryString=%5Baliases%5D(%20PTPN22%20)&amp;keywords=PTPN22", "PTPN22")</f>
        <v>PTPN22</v>
      </c>
      <c r="N12" s="3" t="s">
        <v>62</v>
      </c>
      <c r="O12" s="3" t="s">
        <v>63</v>
      </c>
      <c r="P12" s="3" t="s">
        <v>166</v>
      </c>
      <c r="Q12" s="3" t="n">
        <v>0.0217</v>
      </c>
      <c r="R12" s="3" t="n">
        <v>0.0106</v>
      </c>
      <c r="S12" s="3" t="n">
        <v>0.0096</v>
      </c>
      <c r="T12" s="3" t="n">
        <v>-1</v>
      </c>
      <c r="U12" s="3" t="n">
        <v>0.0144</v>
      </c>
      <c r="V12" s="3" t="s">
        <v>167</v>
      </c>
      <c r="W12" s="3" t="s">
        <v>47</v>
      </c>
      <c r="X12" s="3" t="s">
        <v>46</v>
      </c>
      <c r="Y12" s="3" t="s">
        <v>46</v>
      </c>
      <c r="Z12" s="3" t="s">
        <v>114</v>
      </c>
      <c r="AA12" s="3" t="s">
        <v>67</v>
      </c>
      <c r="AB12" s="3" t="s">
        <v>168</v>
      </c>
      <c r="AC12" s="3" t="s">
        <v>50</v>
      </c>
      <c r="AD12" s="3" t="s">
        <v>147</v>
      </c>
      <c r="AE12" s="3" t="s">
        <v>169</v>
      </c>
      <c r="AF12" s="3" t="s">
        <v>170</v>
      </c>
      <c r="AG12" s="3" t="s">
        <v>171</v>
      </c>
      <c r="AH12" s="3" t="s">
        <v>172</v>
      </c>
      <c r="AI12" s="3" t="s">
        <v>46</v>
      </c>
      <c r="AJ12" s="3" t="s">
        <v>46</v>
      </c>
      <c r="AK12" s="3" t="s">
        <v>46</v>
      </c>
      <c r="AL12" s="3" t="s">
        <v>46</v>
      </c>
    </row>
    <row r="13" customFormat="false" ht="15" hidden="false" customHeight="false" outlineLevel="0" collapsed="false">
      <c r="A13" s="4"/>
      <c r="B13" s="4" t="str">
        <f aca="false">HYPERLINK("https://genome.ucsc.edu/cgi-bin/hgTracks?db=hg19&amp;position=chr7%3A151927023%2D151927023", "chr7:151927023")</f>
        <v>chr7:151927023</v>
      </c>
      <c r="C13" s="4" t="s">
        <v>38</v>
      </c>
      <c r="D13" s="4" t="n">
        <v>151927023</v>
      </c>
      <c r="E13" s="4" t="n">
        <v>151927023</v>
      </c>
      <c r="F13" s="4" t="s">
        <v>39</v>
      </c>
      <c r="G13" s="4" t="s">
        <v>40</v>
      </c>
      <c r="H13" s="4" t="s">
        <v>173</v>
      </c>
      <c r="I13" s="4" t="s">
        <v>174</v>
      </c>
      <c r="J13" s="4" t="s">
        <v>175</v>
      </c>
      <c r="K13" s="4" t="s">
        <v>46</v>
      </c>
      <c r="L13" s="4" t="str">
        <f aca="false">HYPERLINK("https://www.ncbi.nlm.nih.gov/snp/rs58528565", "rs58528565")</f>
        <v>rs58528565</v>
      </c>
      <c r="M13" s="4" t="str">
        <f aca="false">HYPERLINK("https://www.genecards.org/Search/Keyword?queryString=%5Baliases%5D(%20KMT2C%20)&amp;keywords=KMT2C", "KMT2C")</f>
        <v>KMT2C</v>
      </c>
      <c r="N13" s="4" t="s">
        <v>62</v>
      </c>
      <c r="O13" s="4" t="s">
        <v>76</v>
      </c>
      <c r="P13" s="4" t="s">
        <v>176</v>
      </c>
      <c r="Q13" s="4" t="n">
        <v>1.94E-005</v>
      </c>
      <c r="R13" s="4" t="n">
        <v>-1</v>
      </c>
      <c r="S13" s="4" t="n">
        <v>-1</v>
      </c>
      <c r="T13" s="4" t="n">
        <v>-1</v>
      </c>
      <c r="U13" s="4" t="n">
        <v>-1</v>
      </c>
      <c r="V13" s="4" t="s">
        <v>177</v>
      </c>
      <c r="W13" s="4" t="s">
        <v>46</v>
      </c>
      <c r="X13" s="4" t="s">
        <v>46</v>
      </c>
      <c r="Y13" s="4" t="s">
        <v>46</v>
      </c>
      <c r="Z13" s="4" t="s">
        <v>126</v>
      </c>
      <c r="AA13" s="4" t="s">
        <v>178</v>
      </c>
      <c r="AB13" s="4" t="s">
        <v>168</v>
      </c>
      <c r="AC13" s="4" t="s">
        <v>50</v>
      </c>
      <c r="AD13" s="4" t="s">
        <v>147</v>
      </c>
      <c r="AE13" s="4" t="s">
        <v>179</v>
      </c>
      <c r="AF13" s="4" t="s">
        <v>180</v>
      </c>
      <c r="AG13" s="4" t="s">
        <v>181</v>
      </c>
      <c r="AH13" s="4" t="s">
        <v>46</v>
      </c>
      <c r="AI13" s="4" t="s">
        <v>46</v>
      </c>
      <c r="AJ13" s="4" t="s">
        <v>46</v>
      </c>
      <c r="AK13" s="4" t="s">
        <v>46</v>
      </c>
      <c r="AL13" s="4" t="s">
        <v>182</v>
      </c>
    </row>
    <row r="14" customFormat="false" ht="15" hidden="false" customHeight="false" outlineLevel="0" collapsed="false">
      <c r="B14" s="0" t="str">
        <f aca="false">HYPERLINK("https://genome.ucsc.edu/cgi-bin/hgTracks?db=hg19&amp;position=chr12%3A102792886%2D102792889", "chr12:102792886")</f>
        <v>chr12:102792886</v>
      </c>
      <c r="C14" s="0" t="s">
        <v>183</v>
      </c>
      <c r="D14" s="0" t="n">
        <v>102792886</v>
      </c>
      <c r="E14" s="0" t="n">
        <v>102792889</v>
      </c>
      <c r="F14" s="0" t="s">
        <v>184</v>
      </c>
      <c r="G14" s="0" t="s">
        <v>185</v>
      </c>
      <c r="H14" s="0" t="s">
        <v>186</v>
      </c>
      <c r="I14" s="0" t="s">
        <v>187</v>
      </c>
      <c r="J14" s="0" t="s">
        <v>188</v>
      </c>
      <c r="K14" s="0" t="s">
        <v>46</v>
      </c>
      <c r="L14" s="0" t="str">
        <f aca="false">HYPERLINK("https://www.ncbi.nlm.nih.gov/snp/rs886048879", "rs886048879")</f>
        <v>rs886048879</v>
      </c>
      <c r="M14" s="0" t="str">
        <f aca="false">HYPERLINK("https://www.genecards.org/Search/Keyword?queryString=%5Baliases%5D(%20IGF1%20)%20OR%20%5Baliases%5D(%20JX088243%20)&amp;keywords=IGF1,JX088243", "IGF1;JX088243")</f>
        <v>IGF1;JX088243</v>
      </c>
      <c r="N14" s="0" t="s">
        <v>189</v>
      </c>
      <c r="O14" s="0" t="s">
        <v>46</v>
      </c>
      <c r="P14" s="0" t="s">
        <v>190</v>
      </c>
      <c r="Q14" s="0" t="n">
        <v>0.0269</v>
      </c>
      <c r="R14" s="0" t="n">
        <v>0.0282</v>
      </c>
      <c r="S14" s="0" t="n">
        <v>0.023</v>
      </c>
      <c r="T14" s="0" t="n">
        <v>-1</v>
      </c>
      <c r="U14" s="0" t="n">
        <v>0.0443</v>
      </c>
      <c r="V14" s="0" t="s">
        <v>46</v>
      </c>
      <c r="W14" s="0" t="s">
        <v>46</v>
      </c>
      <c r="X14" s="0" t="s">
        <v>46</v>
      </c>
      <c r="Y14" s="0" t="s">
        <v>46</v>
      </c>
      <c r="Z14" s="0" t="s">
        <v>46</v>
      </c>
      <c r="AA14" s="0" t="s">
        <v>46</v>
      </c>
      <c r="AB14" s="0" t="s">
        <v>168</v>
      </c>
      <c r="AC14" s="0" t="s">
        <v>50</v>
      </c>
      <c r="AD14" s="0" t="s">
        <v>191</v>
      </c>
      <c r="AE14" s="0" t="s">
        <v>192</v>
      </c>
      <c r="AF14" s="0" t="s">
        <v>193</v>
      </c>
      <c r="AG14" s="0" t="s">
        <v>194</v>
      </c>
      <c r="AH14" s="0" t="s">
        <v>195</v>
      </c>
      <c r="AI14" s="0" t="s">
        <v>46</v>
      </c>
      <c r="AJ14" s="0" t="s">
        <v>46</v>
      </c>
      <c r="AK14" s="0" t="s">
        <v>46</v>
      </c>
      <c r="AL14" s="0" t="s">
        <v>46</v>
      </c>
    </row>
    <row r="15" s="5" customFormat="true" ht="15" hidden="false" customHeight="false" outlineLevel="0" collapsed="false">
      <c r="A15" s="0"/>
      <c r="B15" s="0" t="str">
        <f aca="false">HYPERLINK("https://genome.ucsc.edu/cgi-bin/hgTracks?db=hg19&amp;position=chr15%3A40488980%2D40488980", "chr15:40488980")</f>
        <v>chr15:40488980</v>
      </c>
      <c r="C15" s="0" t="s">
        <v>196</v>
      </c>
      <c r="D15" s="0" t="n">
        <v>40488980</v>
      </c>
      <c r="E15" s="0" t="n">
        <v>40488980</v>
      </c>
      <c r="F15" s="0" t="s">
        <v>39</v>
      </c>
      <c r="G15" s="0" t="s">
        <v>57</v>
      </c>
      <c r="H15" s="0" t="s">
        <v>197</v>
      </c>
      <c r="I15" s="0" t="s">
        <v>198</v>
      </c>
      <c r="J15" s="0" t="s">
        <v>199</v>
      </c>
      <c r="K15" s="0" t="s">
        <v>46</v>
      </c>
      <c r="L15" s="0" t="str">
        <f aca="false">HYPERLINK("https://www.ncbi.nlm.nih.gov/snp/rs770077868", "rs770077868")</f>
        <v>rs770077868</v>
      </c>
      <c r="M15" s="0" t="str">
        <f aca="false">HYPERLINK("https://www.genecards.org/Search/Keyword?queryString=%5Baliases%5D(%20BUB1B%20)&amp;keywords=BUB1B", "BUB1B")</f>
        <v>BUB1B</v>
      </c>
      <c r="N15" s="0" t="s">
        <v>45</v>
      </c>
      <c r="O15" s="0" t="s">
        <v>46</v>
      </c>
      <c r="P15" s="0" t="s">
        <v>46</v>
      </c>
      <c r="Q15" s="0" t="n">
        <v>0.0002</v>
      </c>
      <c r="R15" s="0" t="n">
        <v>0.0002</v>
      </c>
      <c r="S15" s="0" t="n">
        <v>0.0002</v>
      </c>
      <c r="T15" s="0" t="n">
        <v>-1</v>
      </c>
      <c r="U15" s="0" t="n">
        <v>0.0004</v>
      </c>
      <c r="V15" s="0" t="s">
        <v>46</v>
      </c>
      <c r="W15" s="0" t="s">
        <v>47</v>
      </c>
      <c r="X15" s="0" t="s">
        <v>47</v>
      </c>
      <c r="Y15" s="0" t="s">
        <v>200</v>
      </c>
      <c r="Z15" s="0" t="s">
        <v>46</v>
      </c>
      <c r="AA15" s="0" t="s">
        <v>46</v>
      </c>
      <c r="AB15" s="0" t="s">
        <v>168</v>
      </c>
      <c r="AC15" s="0" t="s">
        <v>50</v>
      </c>
      <c r="AD15" s="0" t="s">
        <v>51</v>
      </c>
      <c r="AE15" s="0" t="s">
        <v>201</v>
      </c>
      <c r="AF15" s="0" t="s">
        <v>202</v>
      </c>
      <c r="AG15" s="0" t="s">
        <v>203</v>
      </c>
      <c r="AH15" s="0" t="s">
        <v>204</v>
      </c>
      <c r="AI15" s="0" t="s">
        <v>46</v>
      </c>
      <c r="AJ15" s="0" t="s">
        <v>46</v>
      </c>
      <c r="AK15" s="0" t="s">
        <v>46</v>
      </c>
      <c r="AL15" s="0" t="s">
        <v>46</v>
      </c>
    </row>
    <row r="16" customFormat="false" ht="15" hidden="false" customHeight="false" outlineLevel="0" collapsed="false">
      <c r="B16" s="0" t="str">
        <f aca="false">HYPERLINK("https://genome.ucsc.edu/cgi-bin/hgTracks?db=hg19&amp;position=chr15%3A99504111%2D99504111", "chr15:99504111")</f>
        <v>chr15:99504111</v>
      </c>
      <c r="C16" s="0" t="s">
        <v>196</v>
      </c>
      <c r="D16" s="0" t="n">
        <v>99504111</v>
      </c>
      <c r="E16" s="0" t="n">
        <v>99504111</v>
      </c>
      <c r="F16" s="0" t="s">
        <v>39</v>
      </c>
      <c r="G16" s="0" t="s">
        <v>57</v>
      </c>
      <c r="H16" s="0" t="s">
        <v>205</v>
      </c>
      <c r="I16" s="0" t="s">
        <v>206</v>
      </c>
      <c r="J16" s="0" t="s">
        <v>207</v>
      </c>
      <c r="K16" s="0" t="s">
        <v>46</v>
      </c>
      <c r="L16" s="0" t="str">
        <f aca="false">HYPERLINK("https://www.ncbi.nlm.nih.gov/snp/rs146062117", "rs146062117")</f>
        <v>rs146062117</v>
      </c>
      <c r="M16" s="0" t="str">
        <f aca="false">HYPERLINK("https://www.genecards.org/Search/Keyword?queryString=%5Baliases%5D(%20IGF1R%20)&amp;keywords=IGF1R", "IGF1R")</f>
        <v>IGF1R</v>
      </c>
      <c r="N16" s="0" t="s">
        <v>208</v>
      </c>
      <c r="O16" s="0" t="s">
        <v>46</v>
      </c>
      <c r="P16" s="0" t="s">
        <v>209</v>
      </c>
      <c r="Q16" s="0" t="n">
        <v>0.0129</v>
      </c>
      <c r="R16" s="0" t="n">
        <v>0.0118</v>
      </c>
      <c r="S16" s="0" t="n">
        <v>0.0115</v>
      </c>
      <c r="T16" s="0" t="n">
        <v>-1</v>
      </c>
      <c r="U16" s="0" t="n">
        <v>0.012</v>
      </c>
      <c r="V16" s="0" t="s">
        <v>46</v>
      </c>
      <c r="W16" s="0" t="s">
        <v>46</v>
      </c>
      <c r="X16" s="0" t="s">
        <v>46</v>
      </c>
      <c r="Y16" s="0" t="s">
        <v>46</v>
      </c>
      <c r="Z16" s="0" t="s">
        <v>46</v>
      </c>
      <c r="AA16" s="0" t="s">
        <v>46</v>
      </c>
      <c r="AB16" s="0" t="s">
        <v>168</v>
      </c>
      <c r="AC16" s="0" t="s">
        <v>50</v>
      </c>
      <c r="AD16" s="0" t="s">
        <v>210</v>
      </c>
      <c r="AE16" s="0" t="s">
        <v>211</v>
      </c>
      <c r="AF16" s="0" t="s">
        <v>212</v>
      </c>
      <c r="AG16" s="0" t="s">
        <v>213</v>
      </c>
      <c r="AH16" s="0" t="s">
        <v>214</v>
      </c>
      <c r="AI16" s="0" t="s">
        <v>46</v>
      </c>
      <c r="AJ16" s="0" t="s">
        <v>46</v>
      </c>
      <c r="AK16" s="0" t="s">
        <v>46</v>
      </c>
      <c r="AL16" s="0" t="s">
        <v>46</v>
      </c>
    </row>
    <row r="17" customFormat="false" ht="15" hidden="false" customHeight="false" outlineLevel="0" collapsed="false">
      <c r="B17" s="0" t="str">
        <f aca="false">HYPERLINK("https://genome.ucsc.edu/cgi-bin/hgTracks?db=hg19&amp;position=chr15%3A100513292%2D100513292", "chr15:100513292")</f>
        <v>chr15:100513292</v>
      </c>
      <c r="C17" s="0" t="s">
        <v>196</v>
      </c>
      <c r="D17" s="0" t="n">
        <v>100513292</v>
      </c>
      <c r="E17" s="0" t="n">
        <v>100513292</v>
      </c>
      <c r="F17" s="0" t="s">
        <v>39</v>
      </c>
      <c r="G17" s="0" t="s">
        <v>57</v>
      </c>
      <c r="H17" s="0" t="s">
        <v>215</v>
      </c>
      <c r="I17" s="0" t="s">
        <v>216</v>
      </c>
      <c r="J17" s="0" t="s">
        <v>217</v>
      </c>
      <c r="K17" s="0" t="s">
        <v>46</v>
      </c>
      <c r="L17" s="0" t="str">
        <f aca="false">HYPERLINK("https://www.ncbi.nlm.nih.gov/snp/rs185582795", "rs185582795")</f>
        <v>rs185582795</v>
      </c>
      <c r="M17" s="0" t="str">
        <f aca="false">HYPERLINK("https://www.genecards.org/Search/Keyword?queryString=%5Baliases%5D(%20ADAMTS17%20)&amp;keywords=ADAMTS17", "ADAMTS17")</f>
        <v>ADAMTS17</v>
      </c>
      <c r="N17" s="0" t="s">
        <v>208</v>
      </c>
      <c r="O17" s="0" t="s">
        <v>46</v>
      </c>
      <c r="P17" s="0" t="s">
        <v>218</v>
      </c>
      <c r="Q17" s="0" t="n">
        <v>0.0133</v>
      </c>
      <c r="R17" s="0" t="n">
        <v>0.0066</v>
      </c>
      <c r="S17" s="0" t="n">
        <v>0.0065</v>
      </c>
      <c r="T17" s="0" t="n">
        <v>-1</v>
      </c>
      <c r="U17" s="0" t="n">
        <v>0.0071</v>
      </c>
      <c r="V17" s="0" t="s">
        <v>46</v>
      </c>
      <c r="W17" s="0" t="s">
        <v>46</v>
      </c>
      <c r="X17" s="0" t="s">
        <v>46</v>
      </c>
      <c r="Y17" s="0" t="s">
        <v>46</v>
      </c>
      <c r="Z17" s="0" t="s">
        <v>46</v>
      </c>
      <c r="AA17" s="0" t="s">
        <v>46</v>
      </c>
      <c r="AB17" s="0" t="s">
        <v>168</v>
      </c>
      <c r="AC17" s="0" t="s">
        <v>219</v>
      </c>
      <c r="AD17" s="0" t="s">
        <v>147</v>
      </c>
      <c r="AE17" s="0" t="s">
        <v>220</v>
      </c>
      <c r="AF17" s="0" t="s">
        <v>221</v>
      </c>
      <c r="AG17" s="0" t="s">
        <v>46</v>
      </c>
      <c r="AH17" s="0" t="s">
        <v>222</v>
      </c>
      <c r="AI17" s="0" t="s">
        <v>46</v>
      </c>
      <c r="AJ17" s="0" t="s">
        <v>46</v>
      </c>
      <c r="AK17" s="0" t="s">
        <v>46</v>
      </c>
      <c r="AL17" s="0" t="s">
        <v>46</v>
      </c>
    </row>
    <row r="18" customFormat="false" ht="15" hidden="false" customHeight="false" outlineLevel="0" collapsed="false">
      <c r="B18" s="0" t="str">
        <f aca="false">HYPERLINK("https://genome.ucsc.edu/cgi-bin/hgTracks?db=hg19&amp;position=chr16%3A1496244%2D1496244", "chr16:1496244")</f>
        <v>chr16:1496244</v>
      </c>
      <c r="C18" s="0" t="s">
        <v>223</v>
      </c>
      <c r="D18" s="0" t="n">
        <v>1496244</v>
      </c>
      <c r="E18" s="0" t="n">
        <v>1496244</v>
      </c>
      <c r="F18" s="0" t="s">
        <v>39</v>
      </c>
      <c r="G18" s="0" t="s">
        <v>57</v>
      </c>
      <c r="H18" s="0" t="s">
        <v>224</v>
      </c>
      <c r="I18" s="0" t="s">
        <v>225</v>
      </c>
      <c r="J18" s="0" t="s">
        <v>226</v>
      </c>
      <c r="K18" s="0" t="s">
        <v>46</v>
      </c>
      <c r="L18" s="0" t="str">
        <f aca="false">HYPERLINK("https://www.ncbi.nlm.nih.gov/snp/rs745852264", "rs745852264")</f>
        <v>rs745852264</v>
      </c>
      <c r="M18" s="0" t="str">
        <f aca="false">HYPERLINK("https://www.genecards.org/Search/Keyword?queryString=%5Baliases%5D(%20CLCN7%20)&amp;keywords=CLCN7", "CLCN7")</f>
        <v>CLCN7</v>
      </c>
      <c r="N18" s="0" t="s">
        <v>189</v>
      </c>
      <c r="O18" s="0" t="s">
        <v>46</v>
      </c>
      <c r="P18" s="0" t="s">
        <v>227</v>
      </c>
      <c r="Q18" s="0" t="n">
        <v>0.0032</v>
      </c>
      <c r="R18" s="0" t="n">
        <v>0.0007</v>
      </c>
      <c r="S18" s="0" t="n">
        <v>0.0006</v>
      </c>
      <c r="T18" s="0" t="n">
        <v>-1</v>
      </c>
      <c r="U18" s="0" t="n">
        <v>0.0011</v>
      </c>
      <c r="V18" s="0" t="s">
        <v>46</v>
      </c>
      <c r="W18" s="0" t="s">
        <v>46</v>
      </c>
      <c r="X18" s="0" t="s">
        <v>46</v>
      </c>
      <c r="Y18" s="0" t="s">
        <v>46</v>
      </c>
      <c r="Z18" s="0" t="s">
        <v>46</v>
      </c>
      <c r="AA18" s="0" t="s">
        <v>46</v>
      </c>
      <c r="AB18" s="0" t="s">
        <v>168</v>
      </c>
      <c r="AC18" s="0" t="s">
        <v>50</v>
      </c>
      <c r="AD18" s="0" t="s">
        <v>51</v>
      </c>
      <c r="AE18" s="0" t="s">
        <v>228</v>
      </c>
      <c r="AF18" s="0" t="s">
        <v>229</v>
      </c>
      <c r="AG18" s="0" t="s">
        <v>230</v>
      </c>
      <c r="AH18" s="0" t="s">
        <v>231</v>
      </c>
      <c r="AI18" s="0" t="s">
        <v>46</v>
      </c>
      <c r="AJ18" s="0" t="s">
        <v>46</v>
      </c>
      <c r="AK18" s="0" t="s">
        <v>46</v>
      </c>
      <c r="AL18" s="0" t="s">
        <v>46</v>
      </c>
    </row>
    <row r="19" customFormat="false" ht="15" hidden="false" customHeight="false" outlineLevel="0" collapsed="false">
      <c r="B19" s="0" t="str">
        <f aca="false">HYPERLINK("https://genome.ucsc.edu/cgi-bin/hgTracks?db=hg19&amp;position=chr17%3A45388724%2D45388724", "chr17:45388724")</f>
        <v>chr17:45388724</v>
      </c>
      <c r="C19" s="0" t="s">
        <v>232</v>
      </c>
      <c r="D19" s="0" t="n">
        <v>45388724</v>
      </c>
      <c r="E19" s="0" t="n">
        <v>45388724</v>
      </c>
      <c r="F19" s="0" t="s">
        <v>39</v>
      </c>
      <c r="G19" s="0" t="s">
        <v>57</v>
      </c>
      <c r="H19" s="0" t="s">
        <v>233</v>
      </c>
      <c r="I19" s="0" t="s">
        <v>234</v>
      </c>
      <c r="J19" s="0" t="s">
        <v>235</v>
      </c>
      <c r="K19" s="0" t="s">
        <v>46</v>
      </c>
      <c r="L19" s="0" t="str">
        <f aca="false">HYPERLINK("https://www.ncbi.nlm.nih.gov/snp/rs56288308", "rs56288308")</f>
        <v>rs56288308</v>
      </c>
      <c r="M19" s="0" t="str">
        <f aca="false">HYPERLINK("https://www.genecards.org/Search/Keyword?queryString=%5Baliases%5D(%20ITGB3%20)%20OR%20%5Baliases%5D(%20THCAT158%20)&amp;keywords=ITGB3,THCAT158", "ITGB3;THCAT158")</f>
        <v>ITGB3;THCAT158</v>
      </c>
      <c r="N19" s="0" t="s">
        <v>208</v>
      </c>
      <c r="O19" s="0" t="s">
        <v>46</v>
      </c>
      <c r="P19" s="0" t="s">
        <v>236</v>
      </c>
      <c r="Q19" s="0" t="n">
        <v>0.0128</v>
      </c>
      <c r="R19" s="0" t="n">
        <v>0.0125</v>
      </c>
      <c r="S19" s="0" t="n">
        <v>0.0123</v>
      </c>
      <c r="T19" s="0" t="n">
        <v>-1</v>
      </c>
      <c r="U19" s="0" t="n">
        <v>0.0163</v>
      </c>
      <c r="V19" s="0" t="s">
        <v>46</v>
      </c>
      <c r="W19" s="0" t="s">
        <v>46</v>
      </c>
      <c r="X19" s="0" t="s">
        <v>46</v>
      </c>
      <c r="Y19" s="0" t="s">
        <v>46</v>
      </c>
      <c r="Z19" s="0" t="s">
        <v>46</v>
      </c>
      <c r="AA19" s="0" t="s">
        <v>46</v>
      </c>
      <c r="AB19" s="0" t="s">
        <v>168</v>
      </c>
      <c r="AC19" s="0" t="s">
        <v>50</v>
      </c>
      <c r="AD19" s="0" t="s">
        <v>191</v>
      </c>
      <c r="AE19" s="0" t="s">
        <v>237</v>
      </c>
      <c r="AF19" s="0" t="s">
        <v>238</v>
      </c>
      <c r="AG19" s="0" t="s">
        <v>239</v>
      </c>
      <c r="AH19" s="0" t="s">
        <v>240</v>
      </c>
      <c r="AI19" s="0" t="s">
        <v>46</v>
      </c>
      <c r="AJ19" s="0" t="s">
        <v>46</v>
      </c>
      <c r="AK19" s="0" t="s">
        <v>46</v>
      </c>
      <c r="AL19" s="0" t="s">
        <v>46</v>
      </c>
    </row>
    <row r="20" customFormat="false" ht="15" hidden="false" customHeight="false" outlineLevel="0" collapsed="false">
      <c r="B20" s="0" t="str">
        <f aca="false">HYPERLINK("https://genome.ucsc.edu/cgi-bin/hgTracks?db=hg19&amp;position=chr19%3A54698266%2D54698266", "chr19:54698266")</f>
        <v>chr19:54698266</v>
      </c>
      <c r="C20" s="0" t="s">
        <v>241</v>
      </c>
      <c r="D20" s="0" t="n">
        <v>54698266</v>
      </c>
      <c r="E20" s="0" t="n">
        <v>54698266</v>
      </c>
      <c r="F20" s="0" t="s">
        <v>82</v>
      </c>
      <c r="G20" s="0" t="s">
        <v>40</v>
      </c>
      <c r="H20" s="0" t="s">
        <v>242</v>
      </c>
      <c r="I20" s="0" t="s">
        <v>109</v>
      </c>
      <c r="J20" s="0" t="s">
        <v>243</v>
      </c>
      <c r="K20" s="0" t="s">
        <v>46</v>
      </c>
      <c r="L20" s="0" t="str">
        <f aca="false">HYPERLINK("https://www.ncbi.nlm.nih.gov/snp/rs553497009", "rs553497009")</f>
        <v>rs553497009</v>
      </c>
      <c r="M20" s="0" t="str">
        <f aca="false">HYPERLINK("https://www.genecards.org/Search/Keyword?queryString=%5Baliases%5D(%20TSEN34%20)&amp;keywords=TSEN34", "TSEN34")</f>
        <v>TSEN34</v>
      </c>
      <c r="N20" s="0" t="s">
        <v>189</v>
      </c>
      <c r="O20" s="0" t="s">
        <v>46</v>
      </c>
      <c r="P20" s="0" t="s">
        <v>244</v>
      </c>
      <c r="Q20" s="0" t="n">
        <v>0.0012</v>
      </c>
      <c r="R20" s="0" t="n">
        <v>0.0014</v>
      </c>
      <c r="S20" s="0" t="n">
        <v>0.0012</v>
      </c>
      <c r="T20" s="0" t="n">
        <v>-1</v>
      </c>
      <c r="U20" s="0" t="n">
        <v>0.0018</v>
      </c>
      <c r="V20" s="0" t="s">
        <v>46</v>
      </c>
      <c r="W20" s="0" t="s">
        <v>46</v>
      </c>
      <c r="X20" s="0" t="s">
        <v>46</v>
      </c>
      <c r="Y20" s="0" t="s">
        <v>46</v>
      </c>
      <c r="Z20" s="0" t="s">
        <v>46</v>
      </c>
      <c r="AA20" s="0" t="s">
        <v>46</v>
      </c>
      <c r="AB20" s="0" t="s">
        <v>168</v>
      </c>
      <c r="AC20" s="0" t="s">
        <v>50</v>
      </c>
      <c r="AD20" s="0" t="s">
        <v>147</v>
      </c>
      <c r="AE20" s="0" t="s">
        <v>245</v>
      </c>
      <c r="AF20" s="0" t="s">
        <v>246</v>
      </c>
      <c r="AG20" s="0" t="s">
        <v>247</v>
      </c>
      <c r="AH20" s="0" t="s">
        <v>248</v>
      </c>
      <c r="AI20" s="0" t="s">
        <v>46</v>
      </c>
      <c r="AJ20" s="0" t="s">
        <v>46</v>
      </c>
      <c r="AK20" s="0" t="s">
        <v>46</v>
      </c>
      <c r="AL20" s="0" t="s">
        <v>46</v>
      </c>
    </row>
    <row r="21" customFormat="false" ht="15" hidden="false" customHeight="false" outlineLevel="0" collapsed="false">
      <c r="B21" s="0" t="str">
        <f aca="false">HYPERLINK("https://genome.ucsc.edu/cgi-bin/hgTracks?db=hg19&amp;position=chr4%3A90646469%2D90646469", "chr4:90646469")</f>
        <v>chr4:90646469</v>
      </c>
      <c r="C21" s="0" t="s">
        <v>56</v>
      </c>
      <c r="D21" s="0" t="n">
        <v>90646469</v>
      </c>
      <c r="E21" s="0" t="n">
        <v>90646469</v>
      </c>
      <c r="F21" s="0" t="s">
        <v>185</v>
      </c>
      <c r="G21" s="0" t="s">
        <v>249</v>
      </c>
      <c r="H21" s="0" t="s">
        <v>250</v>
      </c>
      <c r="I21" s="0" t="s">
        <v>251</v>
      </c>
      <c r="J21" s="0" t="s">
        <v>252</v>
      </c>
      <c r="K21" s="0" t="s">
        <v>46</v>
      </c>
      <c r="L21" s="0" t="str">
        <f aca="false">HYPERLINK("https://www.ncbi.nlm.nih.gov/snp/rs777296100", "rs777296100")</f>
        <v>rs777296100</v>
      </c>
      <c r="M21" s="0" t="str">
        <f aca="false">HYPERLINK("https://www.genecards.org/Search/Keyword?queryString=%5Baliases%5D(%20SNCA%20)&amp;keywords=SNCA", "SNCA")</f>
        <v>SNCA</v>
      </c>
      <c r="N21" s="0" t="s">
        <v>208</v>
      </c>
      <c r="O21" s="0" t="s">
        <v>46</v>
      </c>
      <c r="P21" s="0" t="s">
        <v>253</v>
      </c>
      <c r="Q21" s="0" t="n">
        <v>3.84E-005</v>
      </c>
      <c r="R21" s="0" t="n">
        <v>-1</v>
      </c>
      <c r="S21" s="0" t="n">
        <v>-1</v>
      </c>
      <c r="T21" s="0" t="n">
        <v>-1</v>
      </c>
      <c r="U21" s="0" t="n">
        <v>-1</v>
      </c>
      <c r="V21" s="0" t="s">
        <v>46</v>
      </c>
      <c r="W21" s="0" t="s">
        <v>46</v>
      </c>
      <c r="X21" s="0" t="s">
        <v>46</v>
      </c>
      <c r="Y21" s="0" t="s">
        <v>46</v>
      </c>
      <c r="Z21" s="0" t="s">
        <v>46</v>
      </c>
      <c r="AA21" s="0" t="s">
        <v>46</v>
      </c>
      <c r="AB21" s="0" t="s">
        <v>168</v>
      </c>
      <c r="AC21" s="0" t="s">
        <v>254</v>
      </c>
      <c r="AD21" s="0" t="s">
        <v>51</v>
      </c>
      <c r="AE21" s="0" t="s">
        <v>255</v>
      </c>
      <c r="AF21" s="0" t="s">
        <v>256</v>
      </c>
      <c r="AG21" s="0" t="s">
        <v>257</v>
      </c>
      <c r="AH21" s="0" t="s">
        <v>258</v>
      </c>
      <c r="AI21" s="0" t="s">
        <v>46</v>
      </c>
      <c r="AJ21" s="0" t="s">
        <v>46</v>
      </c>
      <c r="AK21" s="0" t="s">
        <v>46</v>
      </c>
      <c r="AL21" s="0" t="s">
        <v>46</v>
      </c>
    </row>
    <row r="22" customFormat="false" ht="15" hidden="false" customHeight="false" outlineLevel="0" collapsed="false">
      <c r="B22" s="0" t="str">
        <f aca="false">HYPERLINK("https://genome.ucsc.edu/cgi-bin/hgTracks?db=hg19&amp;position=chr15%3A45393426%2D45393429", "chr15:45393426")</f>
        <v>chr15:45393426</v>
      </c>
      <c r="C22" s="0" t="s">
        <v>196</v>
      </c>
      <c r="D22" s="0" t="n">
        <v>45393426</v>
      </c>
      <c r="E22" s="0" t="n">
        <v>45393429</v>
      </c>
      <c r="F22" s="0" t="s">
        <v>259</v>
      </c>
      <c r="G22" s="0" t="s">
        <v>185</v>
      </c>
      <c r="H22" s="0" t="s">
        <v>260</v>
      </c>
      <c r="I22" s="0" t="s">
        <v>206</v>
      </c>
      <c r="J22" s="0" t="s">
        <v>261</v>
      </c>
      <c r="K22" s="0" t="s">
        <v>46</v>
      </c>
      <c r="L22" s="0" t="str">
        <f aca="false">HYPERLINK("https://www.ncbi.nlm.nih.gov/snp/rs530719719", "rs530719719")</f>
        <v>rs530719719</v>
      </c>
      <c r="M22" s="0" t="str">
        <f aca="false">HYPERLINK("https://www.genecards.org/Search/Keyword?queryString=%5Baliases%5D(%20DUOX2%20)&amp;keywords=DUOX2", "DUOX2")</f>
        <v>DUOX2</v>
      </c>
      <c r="N22" s="0" t="s">
        <v>62</v>
      </c>
      <c r="O22" s="0" t="s">
        <v>262</v>
      </c>
      <c r="P22" s="0" t="s">
        <v>263</v>
      </c>
      <c r="Q22" s="0" t="n">
        <v>0.0109</v>
      </c>
      <c r="R22" s="0" t="n">
        <v>0.0032</v>
      </c>
      <c r="S22" s="0" t="n">
        <v>0.0036</v>
      </c>
      <c r="T22" s="0" t="n">
        <v>-1</v>
      </c>
      <c r="U22" s="0" t="n">
        <v>0.0041</v>
      </c>
      <c r="V22" s="0" t="s">
        <v>46</v>
      </c>
      <c r="W22" s="0" t="s">
        <v>46</v>
      </c>
      <c r="X22" s="0" t="s">
        <v>46</v>
      </c>
      <c r="Y22" s="0" t="s">
        <v>46</v>
      </c>
      <c r="Z22" s="0" t="s">
        <v>46</v>
      </c>
      <c r="AA22" s="0" t="s">
        <v>46</v>
      </c>
      <c r="AB22" s="0" t="s">
        <v>264</v>
      </c>
      <c r="AC22" s="0" t="s">
        <v>50</v>
      </c>
      <c r="AD22" s="0" t="s">
        <v>51</v>
      </c>
      <c r="AE22" s="0" t="s">
        <v>265</v>
      </c>
      <c r="AF22" s="0" t="s">
        <v>266</v>
      </c>
      <c r="AG22" s="0" t="s">
        <v>267</v>
      </c>
      <c r="AH22" s="0" t="s">
        <v>268</v>
      </c>
      <c r="AI22" s="0" t="s">
        <v>46</v>
      </c>
      <c r="AJ22" s="0" t="s">
        <v>46</v>
      </c>
      <c r="AK22" s="0" t="s">
        <v>46</v>
      </c>
      <c r="AL22" s="0" t="s">
        <v>46</v>
      </c>
    </row>
    <row r="23" customFormat="false" ht="15" hidden="false" customHeight="false" outlineLevel="0" collapsed="false">
      <c r="B23" s="0" t="str">
        <f aca="false">HYPERLINK("https://genome.ucsc.edu/cgi-bin/hgTracks?db=hg19&amp;position=chr3%3A113377481%2D113377481", "chr3:113377481")</f>
        <v>chr3:113377481</v>
      </c>
      <c r="C23" s="0" t="s">
        <v>269</v>
      </c>
      <c r="D23" s="0" t="n">
        <v>113377481</v>
      </c>
      <c r="E23" s="0" t="n">
        <v>113377481</v>
      </c>
      <c r="F23" s="0" t="s">
        <v>185</v>
      </c>
      <c r="G23" s="0" t="s">
        <v>82</v>
      </c>
      <c r="H23" s="0" t="s">
        <v>270</v>
      </c>
      <c r="I23" s="0" t="s">
        <v>271</v>
      </c>
      <c r="J23" s="0" t="s">
        <v>272</v>
      </c>
      <c r="K23" s="0" t="s">
        <v>46</v>
      </c>
      <c r="L23" s="0" t="str">
        <f aca="false">HYPERLINK("https://www.ncbi.nlm.nih.gov/snp/rs766218926", "rs766218926")</f>
        <v>rs766218926</v>
      </c>
      <c r="M23" s="0" t="str">
        <f aca="false">HYPERLINK("https://www.genecards.org/Search/Keyword?queryString=%5Baliases%5D(%20KIAA2018%20)%20OR%20%5Baliases%5D(%20USF3%20)&amp;keywords=KIAA2018,USF3", "KIAA2018;USF3")</f>
        <v>KIAA2018;USF3</v>
      </c>
      <c r="N23" s="0" t="s">
        <v>62</v>
      </c>
      <c r="O23" s="0" t="s">
        <v>273</v>
      </c>
      <c r="P23" s="0" t="s">
        <v>274</v>
      </c>
      <c r="Q23" s="0" t="n">
        <v>0.0126</v>
      </c>
      <c r="R23" s="0" t="n">
        <v>0.0114</v>
      </c>
      <c r="S23" s="0" t="n">
        <v>0.0024</v>
      </c>
      <c r="T23" s="0" t="n">
        <v>-1</v>
      </c>
      <c r="U23" s="0" t="n">
        <v>0.0086</v>
      </c>
      <c r="V23" s="0" t="s">
        <v>46</v>
      </c>
      <c r="W23" s="0" t="s">
        <v>46</v>
      </c>
      <c r="X23" s="0" t="s">
        <v>46</v>
      </c>
      <c r="Y23" s="0" t="s">
        <v>46</v>
      </c>
      <c r="Z23" s="0" t="s">
        <v>46</v>
      </c>
      <c r="AA23" s="0" t="s">
        <v>46</v>
      </c>
      <c r="AB23" s="0" t="s">
        <v>275</v>
      </c>
      <c r="AC23" s="0" t="s">
        <v>50</v>
      </c>
      <c r="AD23" s="0" t="s">
        <v>191</v>
      </c>
      <c r="AE23" s="0" t="s">
        <v>46</v>
      </c>
      <c r="AF23" s="0" t="s">
        <v>276</v>
      </c>
      <c r="AG23" s="0" t="s">
        <v>46</v>
      </c>
      <c r="AH23" s="0" t="s">
        <v>46</v>
      </c>
      <c r="AI23" s="0" t="s">
        <v>46</v>
      </c>
      <c r="AJ23" s="0" t="s">
        <v>46</v>
      </c>
      <c r="AK23" s="0" t="s">
        <v>46</v>
      </c>
      <c r="AL23" s="0" t="s">
        <v>46</v>
      </c>
    </row>
    <row r="24" customFormat="false" ht="15" hidden="false" customHeight="false" outlineLevel="0" collapsed="false">
      <c r="B24" s="0" t="str">
        <f aca="false">HYPERLINK("https://genome.ucsc.edu/cgi-bin/hgTracks?db=hg19&amp;position=chr6%3A100006295%2D100006295", "chr6:100006295")</f>
        <v>chr6:100006295</v>
      </c>
      <c r="C24" s="0" t="s">
        <v>131</v>
      </c>
      <c r="D24" s="0" t="n">
        <v>100006295</v>
      </c>
      <c r="E24" s="0" t="n">
        <v>100006295</v>
      </c>
      <c r="F24" s="0" t="s">
        <v>185</v>
      </c>
      <c r="G24" s="0" t="s">
        <v>57</v>
      </c>
      <c r="H24" s="0" t="s">
        <v>277</v>
      </c>
      <c r="I24" s="0" t="s">
        <v>278</v>
      </c>
      <c r="J24" s="0" t="s">
        <v>279</v>
      </c>
      <c r="K24" s="0" t="s">
        <v>46</v>
      </c>
      <c r="L24" s="0" t="str">
        <f aca="false">HYPERLINK("https://www.ncbi.nlm.nih.gov/snp/rs772147120", "rs772147120")</f>
        <v>rs772147120</v>
      </c>
      <c r="M24" s="0" t="str">
        <f aca="false">HYPERLINK("https://www.genecards.org/Search/Keyword?queryString=%5Baliases%5D(%20CCNC%20)&amp;keywords=CCNC", "CCNC")</f>
        <v>CCNC</v>
      </c>
      <c r="N24" s="0" t="s">
        <v>280</v>
      </c>
      <c r="O24" s="0" t="s">
        <v>76</v>
      </c>
      <c r="P24" s="0" t="s">
        <v>281</v>
      </c>
      <c r="Q24" s="0" t="n">
        <v>0.0135</v>
      </c>
      <c r="R24" s="0" t="n">
        <v>0.0066</v>
      </c>
      <c r="S24" s="0" t="n">
        <v>0.0105</v>
      </c>
      <c r="T24" s="0" t="n">
        <v>-1</v>
      </c>
      <c r="U24" s="0" t="n">
        <v>0.0541</v>
      </c>
      <c r="V24" s="0" t="s">
        <v>46</v>
      </c>
      <c r="W24" s="0" t="s">
        <v>46</v>
      </c>
      <c r="X24" s="0" t="s">
        <v>46</v>
      </c>
      <c r="Y24" s="0" t="s">
        <v>46</v>
      </c>
      <c r="Z24" s="0" t="s">
        <v>46</v>
      </c>
      <c r="AA24" s="0" t="s">
        <v>46</v>
      </c>
      <c r="AB24" s="0" t="s">
        <v>275</v>
      </c>
      <c r="AC24" s="0" t="s">
        <v>50</v>
      </c>
      <c r="AD24" s="0" t="s">
        <v>51</v>
      </c>
      <c r="AE24" s="0" t="s">
        <v>282</v>
      </c>
      <c r="AF24" s="0" t="s">
        <v>283</v>
      </c>
      <c r="AG24" s="0" t="s">
        <v>284</v>
      </c>
      <c r="AH24" s="0" t="s">
        <v>46</v>
      </c>
      <c r="AI24" s="0" t="s">
        <v>46</v>
      </c>
      <c r="AJ24" s="0" t="s">
        <v>46</v>
      </c>
      <c r="AK24" s="0" t="s">
        <v>46</v>
      </c>
      <c r="AL24" s="0" t="s">
        <v>46</v>
      </c>
    </row>
    <row r="25" customFormat="false" ht="15" hidden="false" customHeight="false" outlineLevel="0" collapsed="false">
      <c r="A25" s="5" t="s">
        <v>285</v>
      </c>
      <c r="B25" s="5" t="str">
        <f aca="false">HYPERLINK("https://genome.ucsc.edu/cgi-bin/hgTracks?db=hg19&amp;position=chr2%3A74808893%2D74808893", "chr2:74808893")</f>
        <v>chr2:74808893</v>
      </c>
      <c r="C25" s="5" t="s">
        <v>71</v>
      </c>
      <c r="D25" s="5" t="n">
        <v>74808893</v>
      </c>
      <c r="E25" s="5" t="n">
        <v>74808893</v>
      </c>
      <c r="F25" s="5" t="s">
        <v>185</v>
      </c>
      <c r="G25" s="5" t="s">
        <v>57</v>
      </c>
      <c r="H25" s="5" t="s">
        <v>286</v>
      </c>
      <c r="I25" s="5" t="s">
        <v>287</v>
      </c>
      <c r="J25" s="5" t="s">
        <v>288</v>
      </c>
      <c r="K25" s="5" t="s">
        <v>46</v>
      </c>
      <c r="L25" s="5" t="str">
        <f aca="false">HYPERLINK("https://www.ncbi.nlm.nih.gov/snp/rs144217347", "rs144217347")</f>
        <v>rs144217347</v>
      </c>
      <c r="M25" s="5" t="str">
        <f aca="false">HYPERLINK("https://www.genecards.org/Search/Keyword?queryString=%5Baliases%5D(%20M1AP%20)&amp;keywords=M1AP", "M1AP")</f>
        <v>M1AP</v>
      </c>
      <c r="N25" s="5" t="s">
        <v>62</v>
      </c>
      <c r="O25" s="5" t="s">
        <v>273</v>
      </c>
      <c r="P25" s="5" t="s">
        <v>289</v>
      </c>
      <c r="Q25" s="5" t="n">
        <v>0.004</v>
      </c>
      <c r="R25" s="5" t="n">
        <v>0.0046</v>
      </c>
      <c r="S25" s="5" t="n">
        <v>0.0039</v>
      </c>
      <c r="T25" s="5" t="n">
        <v>-1</v>
      </c>
      <c r="U25" s="5" t="n">
        <v>0.0047</v>
      </c>
      <c r="V25" s="5" t="s">
        <v>46</v>
      </c>
      <c r="W25" s="5" t="s">
        <v>46</v>
      </c>
      <c r="X25" s="5" t="s">
        <v>46</v>
      </c>
      <c r="Y25" s="5" t="s">
        <v>46</v>
      </c>
      <c r="Z25" s="5" t="s">
        <v>46</v>
      </c>
      <c r="AA25" s="5" t="s">
        <v>46</v>
      </c>
      <c r="AB25" s="5" t="s">
        <v>290</v>
      </c>
      <c r="AC25" s="5" t="s">
        <v>50</v>
      </c>
      <c r="AD25" s="5" t="s">
        <v>51</v>
      </c>
      <c r="AE25" s="5" t="s">
        <v>291</v>
      </c>
      <c r="AF25" s="5" t="s">
        <v>292</v>
      </c>
      <c r="AG25" s="5" t="s">
        <v>293</v>
      </c>
      <c r="AH25" s="5" t="s">
        <v>46</v>
      </c>
      <c r="AI25" s="5" t="s">
        <v>46</v>
      </c>
      <c r="AJ25" s="5" t="s">
        <v>46</v>
      </c>
      <c r="AK25" s="5" t="s">
        <v>46</v>
      </c>
      <c r="AL25" s="5" t="s">
        <v>46</v>
      </c>
    </row>
    <row r="26" customFormat="false" ht="15" hidden="false" customHeight="false" outlineLevel="0" collapsed="false">
      <c r="B26" s="0" t="str">
        <f aca="false">HYPERLINK("https://genome.ucsc.edu/cgi-bin/hgTracks?db=hg19&amp;position=chr10%3A28420620%2D28420620", "chr10:28420620")</f>
        <v>chr10:28420620</v>
      </c>
      <c r="C26" s="0" t="s">
        <v>294</v>
      </c>
      <c r="D26" s="0" t="n">
        <v>28420620</v>
      </c>
      <c r="E26" s="0" t="n">
        <v>28420620</v>
      </c>
      <c r="F26" s="0" t="s">
        <v>40</v>
      </c>
      <c r="G26" s="0" t="s">
        <v>82</v>
      </c>
      <c r="H26" s="0" t="s">
        <v>295</v>
      </c>
      <c r="I26" s="0" t="s">
        <v>296</v>
      </c>
      <c r="J26" s="0" t="s">
        <v>297</v>
      </c>
      <c r="K26" s="0" t="s">
        <v>46</v>
      </c>
      <c r="L26" s="0" t="str">
        <f aca="false">HYPERLINK("https://www.ncbi.nlm.nih.gov/snp/rs145596649", "rs145596649")</f>
        <v>rs145596649</v>
      </c>
      <c r="M26" s="0" t="str">
        <f aca="false">HYPERLINK("https://www.genecards.org/Search/Keyword?queryString=%5Baliases%5D(%20MPP7%20)&amp;keywords=MPP7", "MPP7")</f>
        <v>MPP7</v>
      </c>
      <c r="N26" s="0" t="s">
        <v>62</v>
      </c>
      <c r="O26" s="0" t="s">
        <v>63</v>
      </c>
      <c r="P26" s="0" t="s">
        <v>298</v>
      </c>
      <c r="Q26" s="0" t="n">
        <v>0.009</v>
      </c>
      <c r="R26" s="0" t="n">
        <v>0.0093</v>
      </c>
      <c r="S26" s="0" t="n">
        <v>0.0087</v>
      </c>
      <c r="T26" s="0" t="n">
        <v>-1</v>
      </c>
      <c r="U26" s="0" t="n">
        <v>0.0111</v>
      </c>
      <c r="V26" s="0" t="s">
        <v>299</v>
      </c>
      <c r="W26" s="0" t="s">
        <v>47</v>
      </c>
      <c r="X26" s="0" t="s">
        <v>46</v>
      </c>
      <c r="Y26" s="0" t="s">
        <v>46</v>
      </c>
      <c r="Z26" s="0" t="s">
        <v>158</v>
      </c>
      <c r="AA26" s="0" t="s">
        <v>67</v>
      </c>
      <c r="AB26" s="0" t="s">
        <v>159</v>
      </c>
      <c r="AC26" s="0" t="s">
        <v>50</v>
      </c>
      <c r="AD26" s="0" t="s">
        <v>51</v>
      </c>
      <c r="AE26" s="0" t="s">
        <v>300</v>
      </c>
      <c r="AF26" s="0" t="s">
        <v>301</v>
      </c>
      <c r="AG26" s="0" t="s">
        <v>302</v>
      </c>
      <c r="AH26" s="0" t="s">
        <v>46</v>
      </c>
      <c r="AI26" s="0" t="s">
        <v>46</v>
      </c>
      <c r="AJ26" s="0" t="s">
        <v>46</v>
      </c>
      <c r="AK26" s="0" t="s">
        <v>46</v>
      </c>
      <c r="AL26" s="0" t="s">
        <v>46</v>
      </c>
    </row>
    <row r="27" customFormat="false" ht="15" hidden="false" customHeight="false" outlineLevel="0" collapsed="false">
      <c r="B27" s="0" t="str">
        <f aca="false">HYPERLINK("https://genome.ucsc.edu/cgi-bin/hgTracks?db=hg19&amp;position=chr12%3A22005167%2D22005167", "chr12:22005167")</f>
        <v>chr12:22005167</v>
      </c>
      <c r="C27" s="0" t="s">
        <v>183</v>
      </c>
      <c r="D27" s="0" t="n">
        <v>22005167</v>
      </c>
      <c r="E27" s="0" t="n">
        <v>22005167</v>
      </c>
      <c r="F27" s="0" t="s">
        <v>40</v>
      </c>
      <c r="G27" s="0" t="s">
        <v>82</v>
      </c>
      <c r="H27" s="0" t="s">
        <v>303</v>
      </c>
      <c r="I27" s="0" t="s">
        <v>304</v>
      </c>
      <c r="J27" s="0" t="s">
        <v>305</v>
      </c>
      <c r="K27" s="0" t="s">
        <v>46</v>
      </c>
      <c r="L27" s="0" t="str">
        <f aca="false">HYPERLINK("https://www.ncbi.nlm.nih.gov/snp/rs61926078", "rs61926078")</f>
        <v>rs61926078</v>
      </c>
      <c r="M27" s="0" t="str">
        <f aca="false">HYPERLINK("https://www.genecards.org/Search/Keyword?queryString=%5Baliases%5D(%20ABCC9%20)&amp;keywords=ABCC9", "ABCC9")</f>
        <v>ABCC9</v>
      </c>
      <c r="N27" s="0" t="s">
        <v>306</v>
      </c>
      <c r="O27" s="0" t="s">
        <v>46</v>
      </c>
      <c r="P27" s="0" t="s">
        <v>46</v>
      </c>
      <c r="Q27" s="0" t="n">
        <v>0.0184</v>
      </c>
      <c r="R27" s="0" t="n">
        <v>0.0155</v>
      </c>
      <c r="S27" s="0" t="n">
        <v>0.0144</v>
      </c>
      <c r="T27" s="0" t="n">
        <v>-1</v>
      </c>
      <c r="U27" s="0" t="n">
        <v>0.0223</v>
      </c>
      <c r="V27" s="0" t="s">
        <v>46</v>
      </c>
      <c r="W27" s="0" t="s">
        <v>82</v>
      </c>
      <c r="X27" s="0" t="s">
        <v>307</v>
      </c>
      <c r="Y27" s="0" t="s">
        <v>200</v>
      </c>
      <c r="Z27" s="0" t="s">
        <v>46</v>
      </c>
      <c r="AA27" s="0" t="s">
        <v>46</v>
      </c>
      <c r="AB27" s="0" t="s">
        <v>91</v>
      </c>
      <c r="AC27" s="0" t="s">
        <v>50</v>
      </c>
      <c r="AD27" s="0" t="s">
        <v>51</v>
      </c>
      <c r="AE27" s="0" t="s">
        <v>308</v>
      </c>
      <c r="AF27" s="0" t="s">
        <v>309</v>
      </c>
      <c r="AG27" s="0" t="s">
        <v>310</v>
      </c>
      <c r="AH27" s="0" t="s">
        <v>311</v>
      </c>
      <c r="AI27" s="0" t="s">
        <v>46</v>
      </c>
      <c r="AJ27" s="0" t="s">
        <v>46</v>
      </c>
      <c r="AK27" s="0" t="s">
        <v>46</v>
      </c>
      <c r="AL27" s="0" t="s">
        <v>46</v>
      </c>
    </row>
    <row r="28" customFormat="false" ht="15" hidden="false" customHeight="false" outlineLevel="0" collapsed="false">
      <c r="B28" s="0" t="str">
        <f aca="false">HYPERLINK("https://genome.ucsc.edu/cgi-bin/hgTracks?db=hg19&amp;position=chr6%3A76599857%2D76599857", "chr6:76599857")</f>
        <v>chr6:76599857</v>
      </c>
      <c r="C28" s="0" t="s">
        <v>131</v>
      </c>
      <c r="D28" s="0" t="n">
        <v>76599857</v>
      </c>
      <c r="E28" s="0" t="n">
        <v>76599857</v>
      </c>
      <c r="F28" s="0" t="s">
        <v>185</v>
      </c>
      <c r="G28" s="0" t="s">
        <v>57</v>
      </c>
      <c r="H28" s="0" t="s">
        <v>312</v>
      </c>
      <c r="I28" s="0" t="s">
        <v>313</v>
      </c>
      <c r="J28" s="0" t="s">
        <v>314</v>
      </c>
      <c r="K28" s="0" t="s">
        <v>46</v>
      </c>
      <c r="L28" s="0" t="str">
        <f aca="false">HYPERLINK("https://www.ncbi.nlm.nih.gov/snp/rs551348450", "rs551348450")</f>
        <v>rs551348450</v>
      </c>
      <c r="M28" s="0" t="str">
        <f aca="false">HYPERLINK("https://www.genecards.org/Search/Keyword?queryString=%5Baliases%5D(%20MYO6%20)&amp;keywords=MYO6", "MYO6")</f>
        <v>MYO6</v>
      </c>
      <c r="N28" s="0" t="s">
        <v>62</v>
      </c>
      <c r="O28" s="0" t="s">
        <v>273</v>
      </c>
      <c r="P28" s="0" t="s">
        <v>315</v>
      </c>
      <c r="Q28" s="0" t="n">
        <v>0.0083</v>
      </c>
      <c r="R28" s="0" t="n">
        <v>0.0001</v>
      </c>
      <c r="S28" s="0" t="n">
        <v>-1</v>
      </c>
      <c r="T28" s="0" t="n">
        <v>-1</v>
      </c>
      <c r="U28" s="0" t="n">
        <v>-1</v>
      </c>
      <c r="V28" s="0" t="s">
        <v>46</v>
      </c>
      <c r="W28" s="0" t="s">
        <v>46</v>
      </c>
      <c r="X28" s="0" t="s">
        <v>46</v>
      </c>
      <c r="Y28" s="0" t="s">
        <v>46</v>
      </c>
      <c r="Z28" s="0" t="s">
        <v>46</v>
      </c>
      <c r="AA28" s="0" t="s">
        <v>46</v>
      </c>
      <c r="AB28" s="0" t="s">
        <v>91</v>
      </c>
      <c r="AC28" s="0" t="s">
        <v>50</v>
      </c>
      <c r="AD28" s="0" t="s">
        <v>51</v>
      </c>
      <c r="AE28" s="0" t="s">
        <v>316</v>
      </c>
      <c r="AF28" s="0" t="s">
        <v>317</v>
      </c>
      <c r="AG28" s="0" t="s">
        <v>318</v>
      </c>
      <c r="AH28" s="0" t="s">
        <v>319</v>
      </c>
      <c r="AI28" s="0" t="s">
        <v>46</v>
      </c>
      <c r="AJ28" s="0" t="s">
        <v>46</v>
      </c>
      <c r="AK28" s="0" t="s">
        <v>46</v>
      </c>
      <c r="AL28" s="0" t="s">
        <v>46</v>
      </c>
    </row>
    <row r="29" customFormat="false" ht="15" hidden="false" customHeight="false" outlineLevel="0" collapsed="false">
      <c r="B29" s="0" t="str">
        <f aca="false">HYPERLINK("https://genome.ucsc.edu/cgi-bin/hgTracks?db=hg19&amp;position=chr12%3A66603980%2D66603980", "chr12:66603980")</f>
        <v>chr12:66603980</v>
      </c>
      <c r="C29" s="0" t="s">
        <v>183</v>
      </c>
      <c r="D29" s="0" t="n">
        <v>66603980</v>
      </c>
      <c r="E29" s="0" t="n">
        <v>66603980</v>
      </c>
      <c r="F29" s="0" t="s">
        <v>57</v>
      </c>
      <c r="G29" s="0" t="s">
        <v>39</v>
      </c>
      <c r="H29" s="0" t="s">
        <v>320</v>
      </c>
      <c r="I29" s="0" t="s">
        <v>321</v>
      </c>
      <c r="J29" s="0" t="s">
        <v>322</v>
      </c>
      <c r="K29" s="0" t="s">
        <v>46</v>
      </c>
      <c r="L29" s="0" t="str">
        <f aca="false">HYPERLINK("https://www.ncbi.nlm.nih.gov/snp/rs56001649", "rs56001649")</f>
        <v>rs56001649</v>
      </c>
      <c r="M29" s="0" t="str">
        <f aca="false">HYPERLINK("https://www.genecards.org/Search/Keyword?queryString=%5Baliases%5D(%20IRAK3%20)&amp;keywords=IRAK3", "IRAK3")</f>
        <v>IRAK3</v>
      </c>
      <c r="N29" s="0" t="s">
        <v>62</v>
      </c>
      <c r="O29" s="0" t="s">
        <v>323</v>
      </c>
      <c r="P29" s="0" t="s">
        <v>324</v>
      </c>
      <c r="Q29" s="0" t="n">
        <v>0.022989</v>
      </c>
      <c r="R29" s="0" t="n">
        <v>0.0124</v>
      </c>
      <c r="S29" s="0" t="n">
        <v>0.0131</v>
      </c>
      <c r="T29" s="0" t="n">
        <v>-1</v>
      </c>
      <c r="U29" s="0" t="n">
        <v>0.011</v>
      </c>
      <c r="V29" s="0" t="s">
        <v>46</v>
      </c>
      <c r="W29" s="0" t="s">
        <v>47</v>
      </c>
      <c r="X29" s="0" t="s">
        <v>46</v>
      </c>
      <c r="Y29" s="0" t="s">
        <v>46</v>
      </c>
      <c r="Z29" s="0" t="s">
        <v>46</v>
      </c>
      <c r="AA29" s="0" t="s">
        <v>67</v>
      </c>
      <c r="AB29" s="0" t="s">
        <v>146</v>
      </c>
      <c r="AC29" s="0" t="s">
        <v>50</v>
      </c>
      <c r="AD29" s="0" t="s">
        <v>51</v>
      </c>
      <c r="AE29" s="0" t="s">
        <v>325</v>
      </c>
      <c r="AF29" s="0" t="s">
        <v>326</v>
      </c>
      <c r="AG29" s="0" t="s">
        <v>327</v>
      </c>
      <c r="AH29" s="0" t="s">
        <v>46</v>
      </c>
      <c r="AI29" s="0" t="s">
        <v>46</v>
      </c>
      <c r="AJ29" s="0" t="s">
        <v>46</v>
      </c>
      <c r="AK29" s="0" t="s">
        <v>46</v>
      </c>
      <c r="AL29" s="0" t="s">
        <v>46</v>
      </c>
    </row>
    <row r="30" s="6" customFormat="true" ht="15" hidden="false" customHeight="false" outlineLevel="0" collapsed="false">
      <c r="A30" s="0"/>
      <c r="B30" s="0" t="str">
        <f aca="false">HYPERLINK("https://genome.ucsc.edu/cgi-bin/hgTracks?db=hg19&amp;position=chr12%3A71972585%2D71972585", "chr12:71972585")</f>
        <v>chr12:71972585</v>
      </c>
      <c r="C30" s="0" t="s">
        <v>183</v>
      </c>
      <c r="D30" s="0" t="n">
        <v>71972585</v>
      </c>
      <c r="E30" s="0" t="n">
        <v>71972585</v>
      </c>
      <c r="F30" s="0" t="s">
        <v>39</v>
      </c>
      <c r="G30" s="0" t="s">
        <v>57</v>
      </c>
      <c r="H30" s="0" t="s">
        <v>328</v>
      </c>
      <c r="I30" s="0" t="s">
        <v>329</v>
      </c>
      <c r="J30" s="0" t="s">
        <v>330</v>
      </c>
      <c r="K30" s="0" t="s">
        <v>46</v>
      </c>
      <c r="L30" s="0" t="str">
        <f aca="false">HYPERLINK("https://www.ncbi.nlm.nih.gov/snp/rs146110108", "rs146110108")</f>
        <v>rs146110108</v>
      </c>
      <c r="M30" s="0" t="str">
        <f aca="false">HYPERLINK("https://www.genecards.org/Search/Keyword?queryString=%5Baliases%5D(%20LGR5%20)&amp;keywords=LGR5", "LGR5")</f>
        <v>LGR5</v>
      </c>
      <c r="N30" s="0" t="s">
        <v>62</v>
      </c>
      <c r="O30" s="0" t="s">
        <v>63</v>
      </c>
      <c r="P30" s="0" t="s">
        <v>331</v>
      </c>
      <c r="Q30" s="0" t="n">
        <v>0.0277</v>
      </c>
      <c r="R30" s="0" t="n">
        <v>0.0103</v>
      </c>
      <c r="S30" s="0" t="n">
        <v>0.0089</v>
      </c>
      <c r="T30" s="0" t="n">
        <v>-1</v>
      </c>
      <c r="U30" s="0" t="n">
        <v>0.0151</v>
      </c>
      <c r="V30" s="0" t="s">
        <v>332</v>
      </c>
      <c r="W30" s="0" t="s">
        <v>47</v>
      </c>
      <c r="X30" s="0" t="s">
        <v>46</v>
      </c>
      <c r="Y30" s="0" t="s">
        <v>46</v>
      </c>
      <c r="Z30" s="0" t="s">
        <v>333</v>
      </c>
      <c r="AA30" s="0" t="s">
        <v>67</v>
      </c>
      <c r="AB30" s="0" t="s">
        <v>146</v>
      </c>
      <c r="AC30" s="0" t="s">
        <v>50</v>
      </c>
      <c r="AD30" s="0" t="s">
        <v>51</v>
      </c>
      <c r="AE30" s="0" t="s">
        <v>334</v>
      </c>
      <c r="AF30" s="0" t="s">
        <v>335</v>
      </c>
      <c r="AG30" s="0" t="s">
        <v>336</v>
      </c>
      <c r="AH30" s="0" t="s">
        <v>46</v>
      </c>
      <c r="AI30" s="0" t="s">
        <v>46</v>
      </c>
      <c r="AJ30" s="0" t="s">
        <v>46</v>
      </c>
      <c r="AK30" s="0" t="s">
        <v>46</v>
      </c>
      <c r="AL30" s="0" t="s">
        <v>46</v>
      </c>
    </row>
    <row r="31" s="6" customFormat="true" ht="15" hidden="false" customHeight="false" outlineLevel="0" collapsed="false">
      <c r="A31" s="0"/>
      <c r="B31" s="0" t="str">
        <f aca="false">HYPERLINK("https://genome.ucsc.edu/cgi-bin/hgTracks?db=hg19&amp;position=chr15%3A67528778%2D67528778", "chr15:67528778")</f>
        <v>chr15:67528778</v>
      </c>
      <c r="C31" s="0" t="s">
        <v>196</v>
      </c>
      <c r="D31" s="0" t="n">
        <v>67528778</v>
      </c>
      <c r="E31" s="0" t="n">
        <v>67528778</v>
      </c>
      <c r="F31" s="0" t="s">
        <v>57</v>
      </c>
      <c r="G31" s="0" t="s">
        <v>82</v>
      </c>
      <c r="H31" s="0" t="s">
        <v>337</v>
      </c>
      <c r="I31" s="0" t="s">
        <v>338</v>
      </c>
      <c r="J31" s="0" t="s">
        <v>339</v>
      </c>
      <c r="K31" s="0" t="s">
        <v>46</v>
      </c>
      <c r="L31" s="0" t="str">
        <f aca="false">HYPERLINK("https://www.ncbi.nlm.nih.gov/snp/rs186662479", "rs186662479")</f>
        <v>rs186662479</v>
      </c>
      <c r="M31" s="0" t="str">
        <f aca="false">HYPERLINK("https://www.genecards.org/Search/Keyword?queryString=%5Baliases%5D(%20AAGAB%20)&amp;keywords=AAGAB", "AAGAB")</f>
        <v>AAGAB</v>
      </c>
      <c r="N31" s="0" t="s">
        <v>62</v>
      </c>
      <c r="O31" s="0" t="s">
        <v>340</v>
      </c>
      <c r="P31" s="0" t="s">
        <v>341</v>
      </c>
      <c r="Q31" s="0" t="n">
        <v>0.0092</v>
      </c>
      <c r="R31" s="0" t="n">
        <v>0.01</v>
      </c>
      <c r="S31" s="0" t="n">
        <v>0.0092</v>
      </c>
      <c r="T31" s="0" t="n">
        <v>-1</v>
      </c>
      <c r="U31" s="0" t="n">
        <v>0.0123</v>
      </c>
      <c r="V31" s="0" t="s">
        <v>88</v>
      </c>
      <c r="W31" s="0" t="s">
        <v>46</v>
      </c>
      <c r="X31" s="0" t="s">
        <v>46</v>
      </c>
      <c r="Y31" s="0" t="s">
        <v>46</v>
      </c>
      <c r="Z31" s="0" t="s">
        <v>114</v>
      </c>
      <c r="AA31" s="0" t="s">
        <v>146</v>
      </c>
      <c r="AB31" s="0" t="s">
        <v>146</v>
      </c>
      <c r="AC31" s="0" t="s">
        <v>50</v>
      </c>
      <c r="AD31" s="0" t="s">
        <v>51</v>
      </c>
      <c r="AE31" s="0" t="s">
        <v>342</v>
      </c>
      <c r="AF31" s="0" t="s">
        <v>343</v>
      </c>
      <c r="AG31" s="0" t="s">
        <v>344</v>
      </c>
      <c r="AH31" s="0" t="s">
        <v>46</v>
      </c>
      <c r="AI31" s="0" t="s">
        <v>46</v>
      </c>
      <c r="AJ31" s="0" t="s">
        <v>46</v>
      </c>
      <c r="AK31" s="0" t="s">
        <v>46</v>
      </c>
      <c r="AL31" s="0" t="s">
        <v>46</v>
      </c>
    </row>
    <row r="32" s="5" customFormat="true" ht="15" hidden="false" customHeight="false" outlineLevel="0" collapsed="false">
      <c r="A32" s="0"/>
      <c r="B32" s="0" t="str">
        <f aca="false">HYPERLINK("https://genome.ucsc.edu/cgi-bin/hgTracks?db=hg19&amp;position=chr1%3A120278072%2D120278072", "chr1:120278072")</f>
        <v>chr1:120278072</v>
      </c>
      <c r="C32" s="0" t="s">
        <v>119</v>
      </c>
      <c r="D32" s="0" t="n">
        <v>120278072</v>
      </c>
      <c r="E32" s="0" t="n">
        <v>120278072</v>
      </c>
      <c r="F32" s="0" t="s">
        <v>82</v>
      </c>
      <c r="G32" s="0" t="s">
        <v>39</v>
      </c>
      <c r="H32" s="0" t="s">
        <v>345</v>
      </c>
      <c r="I32" s="0" t="s">
        <v>346</v>
      </c>
      <c r="J32" s="0" t="s">
        <v>347</v>
      </c>
      <c r="K32" s="0" t="s">
        <v>46</v>
      </c>
      <c r="L32" s="0" t="str">
        <f aca="false">HYPERLINK("https://www.ncbi.nlm.nih.gov/snp/rs146953046", "rs146953046")</f>
        <v>rs146953046</v>
      </c>
      <c r="M32" s="0" t="str">
        <f aca="false">HYPERLINK("https://www.genecards.org/Search/Keyword?queryString=%5Baliases%5D(%20PHGDH%20)&amp;keywords=PHGDH", "PHGDH")</f>
        <v>PHGDH</v>
      </c>
      <c r="N32" s="0" t="s">
        <v>45</v>
      </c>
      <c r="O32" s="0" t="s">
        <v>46</v>
      </c>
      <c r="P32" s="0" t="s">
        <v>46</v>
      </c>
      <c r="Q32" s="0" t="n">
        <v>0.0241</v>
      </c>
      <c r="R32" s="0" t="n">
        <v>0.017</v>
      </c>
      <c r="S32" s="0" t="n">
        <v>0.0181</v>
      </c>
      <c r="T32" s="0" t="n">
        <v>-1</v>
      </c>
      <c r="U32" s="0" t="n">
        <v>0.0189</v>
      </c>
      <c r="V32" s="0" t="s">
        <v>46</v>
      </c>
      <c r="W32" s="0" t="s">
        <v>47</v>
      </c>
      <c r="X32" s="0" t="s">
        <v>47</v>
      </c>
      <c r="Y32" s="0" t="s">
        <v>200</v>
      </c>
      <c r="Z32" s="0" t="s">
        <v>46</v>
      </c>
      <c r="AA32" s="0" t="s">
        <v>46</v>
      </c>
      <c r="AB32" s="0" t="s">
        <v>146</v>
      </c>
      <c r="AC32" s="0" t="s">
        <v>50</v>
      </c>
      <c r="AD32" s="0" t="s">
        <v>51</v>
      </c>
      <c r="AE32" s="0" t="s">
        <v>348</v>
      </c>
      <c r="AF32" s="0" t="s">
        <v>349</v>
      </c>
      <c r="AG32" s="0" t="s">
        <v>46</v>
      </c>
      <c r="AH32" s="0" t="s">
        <v>350</v>
      </c>
      <c r="AI32" s="0" t="s">
        <v>46</v>
      </c>
      <c r="AJ32" s="0" t="s">
        <v>46</v>
      </c>
      <c r="AK32" s="0" t="s">
        <v>46</v>
      </c>
      <c r="AL32" s="0" t="s">
        <v>46</v>
      </c>
    </row>
    <row r="33" s="4" customFormat="true" ht="15" hidden="false" customHeight="false" outlineLevel="0" collapsed="false">
      <c r="A33" s="0"/>
      <c r="B33" s="0" t="str">
        <f aca="false">HYPERLINK("https://genome.ucsc.edu/cgi-bin/hgTracks?db=hg19&amp;position=chr1%3A216051082%2D216051082", "chr1:216051082")</f>
        <v>chr1:216051082</v>
      </c>
      <c r="C33" s="0" t="s">
        <v>119</v>
      </c>
      <c r="D33" s="0" t="n">
        <v>216051082</v>
      </c>
      <c r="E33" s="0" t="n">
        <v>216051082</v>
      </c>
      <c r="F33" s="0" t="s">
        <v>82</v>
      </c>
      <c r="G33" s="0" t="s">
        <v>40</v>
      </c>
      <c r="H33" s="0" t="s">
        <v>351</v>
      </c>
      <c r="I33" s="0" t="s">
        <v>352</v>
      </c>
      <c r="J33" s="0" t="s">
        <v>353</v>
      </c>
      <c r="K33" s="0" t="s">
        <v>46</v>
      </c>
      <c r="L33" s="0" t="str">
        <f aca="false">HYPERLINK("https://www.ncbi.nlm.nih.gov/snp/rs41277198", "rs41277198")</f>
        <v>rs41277198</v>
      </c>
      <c r="M33" s="0" t="str">
        <f aca="false">HYPERLINK("https://www.genecards.org/Search/Keyword?queryString=%5Baliases%5D(%20USH2A%20)&amp;keywords=USH2A", "USH2A")</f>
        <v>USH2A</v>
      </c>
      <c r="N33" s="0" t="s">
        <v>45</v>
      </c>
      <c r="O33" s="0" t="s">
        <v>46</v>
      </c>
      <c r="P33" s="0" t="s">
        <v>46</v>
      </c>
      <c r="Q33" s="0" t="n">
        <v>0.023</v>
      </c>
      <c r="R33" s="0" t="n">
        <v>0.0196</v>
      </c>
      <c r="S33" s="0" t="n">
        <v>0.0178</v>
      </c>
      <c r="T33" s="0" t="n">
        <v>-1</v>
      </c>
      <c r="U33" s="0" t="n">
        <v>0.0212</v>
      </c>
      <c r="V33" s="0" t="s">
        <v>46</v>
      </c>
      <c r="W33" s="0" t="s">
        <v>46</v>
      </c>
      <c r="X33" s="0" t="s">
        <v>354</v>
      </c>
      <c r="Y33" s="0" t="s">
        <v>48</v>
      </c>
      <c r="Z33" s="0" t="s">
        <v>46</v>
      </c>
      <c r="AA33" s="0" t="s">
        <v>46</v>
      </c>
      <c r="AB33" s="0" t="s">
        <v>146</v>
      </c>
      <c r="AC33" s="0" t="s">
        <v>50</v>
      </c>
      <c r="AD33" s="0" t="s">
        <v>51</v>
      </c>
      <c r="AE33" s="0" t="s">
        <v>355</v>
      </c>
      <c r="AF33" s="0" t="s">
        <v>356</v>
      </c>
      <c r="AG33" s="0" t="s">
        <v>357</v>
      </c>
      <c r="AH33" s="0" t="s">
        <v>358</v>
      </c>
      <c r="AI33" s="0" t="s">
        <v>46</v>
      </c>
      <c r="AJ33" s="0" t="s">
        <v>46</v>
      </c>
      <c r="AK33" s="0" t="s">
        <v>46</v>
      </c>
      <c r="AL33" s="0" t="s">
        <v>46</v>
      </c>
    </row>
    <row r="34" customFormat="false" ht="15" hidden="false" customHeight="false" outlineLevel="0" collapsed="false">
      <c r="B34" s="0" t="str">
        <f aca="false">HYPERLINK("https://genome.ucsc.edu/cgi-bin/hgTracks?db=hg19&amp;position=chr6%3A51523739%2D51523739", "chr6:51523739")</f>
        <v>chr6:51523739</v>
      </c>
      <c r="C34" s="0" t="s">
        <v>131</v>
      </c>
      <c r="D34" s="0" t="n">
        <v>51523739</v>
      </c>
      <c r="E34" s="0" t="n">
        <v>51523739</v>
      </c>
      <c r="F34" s="0" t="s">
        <v>82</v>
      </c>
      <c r="G34" s="0" t="s">
        <v>40</v>
      </c>
      <c r="H34" s="0" t="s">
        <v>359</v>
      </c>
      <c r="I34" s="0" t="s">
        <v>360</v>
      </c>
      <c r="J34" s="0" t="s">
        <v>361</v>
      </c>
      <c r="K34" s="0" t="s">
        <v>46</v>
      </c>
      <c r="L34" s="0" t="str">
        <f aca="false">HYPERLINK("https://www.ncbi.nlm.nih.gov/snp/rs115072237", "rs115072237")</f>
        <v>rs115072237</v>
      </c>
      <c r="M34" s="0" t="str">
        <f aca="false">HYPERLINK("https://www.genecards.org/Search/Keyword?queryString=%5Baliases%5D(%20PKHD1%20)&amp;keywords=PKHD1", "PKHD1")</f>
        <v>PKHD1</v>
      </c>
      <c r="N34" s="0" t="s">
        <v>45</v>
      </c>
      <c r="O34" s="0" t="s">
        <v>46</v>
      </c>
      <c r="P34" s="0" t="s">
        <v>46</v>
      </c>
      <c r="Q34" s="0" t="n">
        <v>0.0202</v>
      </c>
      <c r="R34" s="0" t="n">
        <v>0.0204</v>
      </c>
      <c r="S34" s="0" t="n">
        <v>0.0207</v>
      </c>
      <c r="T34" s="0" t="n">
        <v>-1</v>
      </c>
      <c r="U34" s="0" t="n">
        <v>0.0183</v>
      </c>
      <c r="V34" s="0" t="s">
        <v>46</v>
      </c>
      <c r="W34" s="0" t="s">
        <v>46</v>
      </c>
      <c r="X34" s="0" t="s">
        <v>47</v>
      </c>
      <c r="Y34" s="0" t="s">
        <v>48</v>
      </c>
      <c r="Z34" s="0" t="s">
        <v>46</v>
      </c>
      <c r="AA34" s="0" t="s">
        <v>46</v>
      </c>
      <c r="AB34" s="0" t="s">
        <v>146</v>
      </c>
      <c r="AC34" s="0" t="s">
        <v>50</v>
      </c>
      <c r="AD34" s="0" t="s">
        <v>51</v>
      </c>
      <c r="AE34" s="0" t="s">
        <v>362</v>
      </c>
      <c r="AF34" s="0" t="s">
        <v>363</v>
      </c>
      <c r="AG34" s="0" t="s">
        <v>364</v>
      </c>
      <c r="AH34" s="0" t="s">
        <v>46</v>
      </c>
      <c r="AI34" s="0" t="s">
        <v>46</v>
      </c>
      <c r="AJ34" s="0" t="s">
        <v>46</v>
      </c>
      <c r="AK34" s="0" t="s">
        <v>46</v>
      </c>
      <c r="AL34" s="0" t="s">
        <v>46</v>
      </c>
    </row>
    <row r="35" customFormat="false" ht="15" hidden="false" customHeight="false" outlineLevel="0" collapsed="false">
      <c r="B35" s="0" t="str">
        <f aca="false">HYPERLINK("https://genome.ucsc.edu/cgi-bin/hgTracks?db=hg19&amp;position=chr7%3A286468%2D286468", "chr7:286468")</f>
        <v>chr7:286468</v>
      </c>
      <c r="C35" s="0" t="s">
        <v>38</v>
      </c>
      <c r="D35" s="0" t="n">
        <v>286468</v>
      </c>
      <c r="E35" s="0" t="n">
        <v>286468</v>
      </c>
      <c r="F35" s="0" t="s">
        <v>185</v>
      </c>
      <c r="G35" s="0" t="s">
        <v>365</v>
      </c>
      <c r="H35" s="0" t="s">
        <v>366</v>
      </c>
      <c r="I35" s="0" t="s">
        <v>367</v>
      </c>
      <c r="J35" s="0" t="s">
        <v>368</v>
      </c>
      <c r="K35" s="0" t="s">
        <v>46</v>
      </c>
      <c r="L35" s="0" t="str">
        <f aca="false">HYPERLINK("https://www.ncbi.nlm.nih.gov/snp/rs771282640", "rs771282640")</f>
        <v>rs771282640</v>
      </c>
      <c r="M35" s="0" t="str">
        <f aca="false">HYPERLINK("https://www.genecards.org/Search/Keyword?queryString=%5Baliases%5D(%20FAM20C%20)&amp;keywords=FAM20C", "FAM20C")</f>
        <v>FAM20C</v>
      </c>
      <c r="N35" s="0" t="s">
        <v>62</v>
      </c>
      <c r="O35" s="0" t="s">
        <v>76</v>
      </c>
      <c r="P35" s="0" t="s">
        <v>369</v>
      </c>
      <c r="Q35" s="0" t="n">
        <v>0.0070116</v>
      </c>
      <c r="R35" s="0" t="n">
        <v>-1</v>
      </c>
      <c r="S35" s="0" t="n">
        <v>-1</v>
      </c>
      <c r="T35" s="0" t="n">
        <v>-1</v>
      </c>
      <c r="U35" s="0" t="n">
        <v>-1</v>
      </c>
      <c r="V35" s="0" t="s">
        <v>46</v>
      </c>
      <c r="W35" s="0" t="s">
        <v>46</v>
      </c>
      <c r="X35" s="0" t="s">
        <v>46</v>
      </c>
      <c r="Y35" s="0" t="s">
        <v>46</v>
      </c>
      <c r="Z35" s="0" t="s">
        <v>46</v>
      </c>
      <c r="AA35" s="0" t="s">
        <v>46</v>
      </c>
      <c r="AB35" s="0" t="s">
        <v>146</v>
      </c>
      <c r="AC35" s="0" t="s">
        <v>50</v>
      </c>
      <c r="AD35" s="0" t="s">
        <v>51</v>
      </c>
      <c r="AE35" s="0" t="s">
        <v>370</v>
      </c>
      <c r="AF35" s="0" t="s">
        <v>371</v>
      </c>
      <c r="AG35" s="0" t="s">
        <v>372</v>
      </c>
      <c r="AH35" s="0" t="s">
        <v>373</v>
      </c>
      <c r="AI35" s="0" t="s">
        <v>46</v>
      </c>
      <c r="AJ35" s="0" t="s">
        <v>46</v>
      </c>
      <c r="AK35" s="0" t="s">
        <v>46</v>
      </c>
      <c r="AL35" s="0" t="s">
        <v>46</v>
      </c>
    </row>
    <row r="36" customFormat="false" ht="15" hidden="false" customHeight="false" outlineLevel="0" collapsed="false">
      <c r="B36" s="0" t="str">
        <f aca="false">HYPERLINK("https://genome.ucsc.edu/cgi-bin/hgTracks?db=hg19&amp;position=chr1%3A20141060%2D20141060", "chr1:20141060")</f>
        <v>chr1:20141060</v>
      </c>
      <c r="C36" s="0" t="s">
        <v>119</v>
      </c>
      <c r="D36" s="0" t="n">
        <v>20141060</v>
      </c>
      <c r="E36" s="0" t="n">
        <v>20141060</v>
      </c>
      <c r="F36" s="0" t="s">
        <v>39</v>
      </c>
      <c r="G36" s="0" t="s">
        <v>57</v>
      </c>
      <c r="H36" s="0" t="s">
        <v>374</v>
      </c>
      <c r="I36" s="0" t="s">
        <v>375</v>
      </c>
      <c r="J36" s="0" t="s">
        <v>376</v>
      </c>
      <c r="K36" s="0" t="s">
        <v>46</v>
      </c>
      <c r="L36" s="0" t="str">
        <f aca="false">HYPERLINK("https://www.ncbi.nlm.nih.gov/snp/rs36095412", "rs36095412")</f>
        <v>rs36095412</v>
      </c>
      <c r="M36" s="0" t="str">
        <f aca="false">HYPERLINK("https://www.genecards.org/Search/Keyword?queryString=%5Baliases%5D(%20RNF186%20)&amp;keywords=RNF186", "RNF186")</f>
        <v>RNF186</v>
      </c>
      <c r="N36" s="0" t="s">
        <v>62</v>
      </c>
      <c r="O36" s="0" t="s">
        <v>76</v>
      </c>
      <c r="P36" s="0" t="s">
        <v>377</v>
      </c>
      <c r="Q36" s="0" t="n">
        <v>0.003049</v>
      </c>
      <c r="R36" s="0" t="n">
        <v>0.0026</v>
      </c>
      <c r="S36" s="0" t="n">
        <v>0.0022</v>
      </c>
      <c r="T36" s="0" t="n">
        <v>-1</v>
      </c>
      <c r="U36" s="0" t="n">
        <v>0.0038</v>
      </c>
      <c r="V36" s="0" t="s">
        <v>78</v>
      </c>
      <c r="W36" s="0" t="s">
        <v>46</v>
      </c>
      <c r="X36" s="0" t="s">
        <v>46</v>
      </c>
      <c r="Y36" s="0" t="s">
        <v>46</v>
      </c>
      <c r="Z36" s="0" t="s">
        <v>66</v>
      </c>
      <c r="AA36" s="0" t="s">
        <v>67</v>
      </c>
      <c r="AB36" s="0" t="s">
        <v>46</v>
      </c>
      <c r="AC36" s="0" t="s">
        <v>50</v>
      </c>
      <c r="AD36" s="0" t="s">
        <v>51</v>
      </c>
      <c r="AE36" s="0" t="s">
        <v>378</v>
      </c>
      <c r="AF36" s="0" t="s">
        <v>379</v>
      </c>
      <c r="AG36" s="0" t="s">
        <v>46</v>
      </c>
      <c r="AH36" s="0" t="s">
        <v>46</v>
      </c>
      <c r="AI36" s="0" t="s">
        <v>46</v>
      </c>
      <c r="AJ36" s="0" t="s">
        <v>46</v>
      </c>
      <c r="AK36" s="0" t="s">
        <v>46</v>
      </c>
      <c r="AL36" s="0" t="s">
        <v>46</v>
      </c>
    </row>
    <row r="37" customFormat="false" ht="15" hidden="false" customHeight="false" outlineLevel="0" collapsed="false">
      <c r="B37" s="0" t="str">
        <f aca="false">HYPERLINK("https://genome.ucsc.edu/cgi-bin/hgTracks?db=hg19&amp;position=chr10%3A126727602%2D126727602", "chr10:126727602")</f>
        <v>chr10:126727602</v>
      </c>
      <c r="C37" s="0" t="s">
        <v>294</v>
      </c>
      <c r="D37" s="0" t="n">
        <v>126727602</v>
      </c>
      <c r="E37" s="0" t="n">
        <v>126727602</v>
      </c>
      <c r="F37" s="0" t="s">
        <v>82</v>
      </c>
      <c r="G37" s="0" t="s">
        <v>57</v>
      </c>
      <c r="H37" s="0" t="s">
        <v>380</v>
      </c>
      <c r="I37" s="0" t="s">
        <v>381</v>
      </c>
      <c r="J37" s="0" t="s">
        <v>382</v>
      </c>
      <c r="K37" s="0" t="s">
        <v>46</v>
      </c>
      <c r="L37" s="0" t="str">
        <f aca="false">HYPERLINK("https://www.ncbi.nlm.nih.gov/snp/rs76555439", "rs76555439")</f>
        <v>rs76555439</v>
      </c>
      <c r="M37" s="0" t="str">
        <f aca="false">HYPERLINK("https://www.genecards.org/Search/Keyword?queryString=%5Baliases%5D(%20CTBP2%20)&amp;keywords=CTBP2", "CTBP2")</f>
        <v>CTBP2</v>
      </c>
      <c r="N37" s="0" t="s">
        <v>62</v>
      </c>
      <c r="O37" s="0" t="s">
        <v>76</v>
      </c>
      <c r="P37" s="0" t="s">
        <v>383</v>
      </c>
      <c r="Q37" s="0" t="n">
        <v>2.59E-005</v>
      </c>
      <c r="R37" s="0" t="n">
        <v>-1</v>
      </c>
      <c r="S37" s="0" t="n">
        <v>-1</v>
      </c>
      <c r="T37" s="0" t="n">
        <v>-1</v>
      </c>
      <c r="U37" s="0" t="n">
        <v>-1</v>
      </c>
      <c r="V37" s="0" t="s">
        <v>384</v>
      </c>
      <c r="W37" s="0" t="s">
        <v>46</v>
      </c>
      <c r="X37" s="0" t="s">
        <v>46</v>
      </c>
      <c r="Y37" s="0" t="s">
        <v>46</v>
      </c>
      <c r="Z37" s="0" t="s">
        <v>114</v>
      </c>
      <c r="AA37" s="0" t="s">
        <v>67</v>
      </c>
      <c r="AB37" s="0" t="s">
        <v>46</v>
      </c>
      <c r="AC37" s="0" t="s">
        <v>50</v>
      </c>
      <c r="AD37" s="0" t="s">
        <v>385</v>
      </c>
      <c r="AE37" s="0" t="s">
        <v>386</v>
      </c>
      <c r="AF37" s="0" t="s">
        <v>387</v>
      </c>
      <c r="AG37" s="0" t="s">
        <v>388</v>
      </c>
      <c r="AH37" s="0" t="s">
        <v>46</v>
      </c>
      <c r="AI37" s="0" t="s">
        <v>46</v>
      </c>
      <c r="AJ37" s="0" t="s">
        <v>46</v>
      </c>
      <c r="AK37" s="0" t="s">
        <v>46</v>
      </c>
      <c r="AL37" s="0" t="s">
        <v>46</v>
      </c>
    </row>
    <row r="38" customFormat="false" ht="15" hidden="false" customHeight="false" outlineLevel="0" collapsed="false">
      <c r="B38" s="0" t="str">
        <f aca="false">HYPERLINK("https://genome.ucsc.edu/cgi-bin/hgTracks?db=hg19&amp;position=chr11%3A43775670%2D43775670", "chr11:43775670")</f>
        <v>chr11:43775670</v>
      </c>
      <c r="C38" s="0" t="s">
        <v>389</v>
      </c>
      <c r="D38" s="0" t="n">
        <v>43775670</v>
      </c>
      <c r="E38" s="0" t="n">
        <v>43775670</v>
      </c>
      <c r="F38" s="0" t="s">
        <v>57</v>
      </c>
      <c r="G38" s="0" t="s">
        <v>39</v>
      </c>
      <c r="H38" s="0" t="s">
        <v>390</v>
      </c>
      <c r="I38" s="0" t="s">
        <v>391</v>
      </c>
      <c r="J38" s="0" t="s">
        <v>392</v>
      </c>
      <c r="K38" s="0" t="s">
        <v>46</v>
      </c>
      <c r="L38" s="0" t="str">
        <f aca="false">HYPERLINK("https://www.ncbi.nlm.nih.gov/snp/rs771898347", "rs771898347")</f>
        <v>rs771898347</v>
      </c>
      <c r="M38" s="0" t="str">
        <f aca="false">HYPERLINK("https://www.genecards.org/Search/Keyword?queryString=%5Baliases%5D(%20HSD17B12%20)&amp;keywords=HSD17B12", "HSD17B12")</f>
        <v>HSD17B12</v>
      </c>
      <c r="N38" s="0" t="s">
        <v>62</v>
      </c>
      <c r="O38" s="0" t="s">
        <v>63</v>
      </c>
      <c r="P38" s="0" t="s">
        <v>393</v>
      </c>
      <c r="Q38" s="0" t="n">
        <v>1.29E-005</v>
      </c>
      <c r="R38" s="0" t="n">
        <v>-1</v>
      </c>
      <c r="S38" s="0" t="n">
        <v>-1</v>
      </c>
      <c r="T38" s="0" t="n">
        <v>-1</v>
      </c>
      <c r="U38" s="0" t="n">
        <v>-1</v>
      </c>
      <c r="V38" s="0" t="s">
        <v>394</v>
      </c>
      <c r="W38" s="0" t="s">
        <v>47</v>
      </c>
      <c r="X38" s="0" t="s">
        <v>46</v>
      </c>
      <c r="Y38" s="0" t="s">
        <v>46</v>
      </c>
      <c r="Z38" s="0" t="s">
        <v>89</v>
      </c>
      <c r="AA38" s="0" t="s">
        <v>67</v>
      </c>
      <c r="AB38" s="0" t="s">
        <v>46</v>
      </c>
      <c r="AC38" s="0" t="s">
        <v>50</v>
      </c>
      <c r="AD38" s="0" t="s">
        <v>51</v>
      </c>
      <c r="AE38" s="0" t="s">
        <v>395</v>
      </c>
      <c r="AF38" s="0" t="s">
        <v>396</v>
      </c>
      <c r="AG38" s="0" t="s">
        <v>397</v>
      </c>
      <c r="AH38" s="0" t="s">
        <v>46</v>
      </c>
      <c r="AI38" s="0" t="s">
        <v>46</v>
      </c>
      <c r="AJ38" s="0" t="s">
        <v>46</v>
      </c>
      <c r="AK38" s="0" t="s">
        <v>46</v>
      </c>
      <c r="AL38" s="0" t="s">
        <v>46</v>
      </c>
    </row>
    <row r="39" customFormat="false" ht="15" hidden="false" customHeight="false" outlineLevel="0" collapsed="false">
      <c r="B39" s="0" t="str">
        <f aca="false">HYPERLINK("https://genome.ucsc.edu/cgi-bin/hgTracks?db=hg19&amp;position=chr11%3A64111929%2D64111929", "chr11:64111929")</f>
        <v>chr11:64111929</v>
      </c>
      <c r="C39" s="0" t="s">
        <v>389</v>
      </c>
      <c r="D39" s="0" t="n">
        <v>64111929</v>
      </c>
      <c r="E39" s="0" t="n">
        <v>64111929</v>
      </c>
      <c r="F39" s="0" t="s">
        <v>39</v>
      </c>
      <c r="G39" s="0" t="s">
        <v>57</v>
      </c>
      <c r="H39" s="0" t="s">
        <v>398</v>
      </c>
      <c r="I39" s="0" t="s">
        <v>154</v>
      </c>
      <c r="J39" s="0" t="s">
        <v>399</v>
      </c>
      <c r="K39" s="0" t="s">
        <v>46</v>
      </c>
      <c r="L39" s="0" t="str">
        <f aca="false">HYPERLINK("https://www.ncbi.nlm.nih.gov/snp/rs759763155", "rs759763155")</f>
        <v>rs759763155</v>
      </c>
      <c r="M39" s="0" t="str">
        <f aca="false">HYPERLINK("https://www.genecards.org/Search/Keyword?queryString=%5Baliases%5D(%20CCDC88B%20)&amp;keywords=CCDC88B", "CCDC88B")</f>
        <v>CCDC88B</v>
      </c>
      <c r="N39" s="0" t="s">
        <v>62</v>
      </c>
      <c r="O39" s="0" t="s">
        <v>76</v>
      </c>
      <c r="P39" s="0" t="s">
        <v>400</v>
      </c>
      <c r="Q39" s="0" t="n">
        <v>0.0001035</v>
      </c>
      <c r="R39" s="0" t="n">
        <v>9.047E-005</v>
      </c>
      <c r="S39" s="0" t="n">
        <v>7.362E-005</v>
      </c>
      <c r="T39" s="0" t="n">
        <v>-1</v>
      </c>
      <c r="U39" s="0" t="n">
        <v>0.0002</v>
      </c>
      <c r="V39" s="0" t="s">
        <v>254</v>
      </c>
      <c r="W39" s="0" t="s">
        <v>46</v>
      </c>
      <c r="X39" s="0" t="s">
        <v>46</v>
      </c>
      <c r="Y39" s="0" t="s">
        <v>46</v>
      </c>
      <c r="Z39" s="0" t="s">
        <v>66</v>
      </c>
      <c r="AA39" s="0" t="s">
        <v>67</v>
      </c>
      <c r="AB39" s="0" t="s">
        <v>46</v>
      </c>
      <c r="AC39" s="0" t="s">
        <v>50</v>
      </c>
      <c r="AD39" s="0" t="s">
        <v>51</v>
      </c>
      <c r="AE39" s="0" t="s">
        <v>401</v>
      </c>
      <c r="AF39" s="0" t="s">
        <v>402</v>
      </c>
      <c r="AG39" s="0" t="s">
        <v>46</v>
      </c>
      <c r="AH39" s="0" t="s">
        <v>46</v>
      </c>
      <c r="AI39" s="0" t="s">
        <v>46</v>
      </c>
      <c r="AJ39" s="0" t="s">
        <v>46</v>
      </c>
      <c r="AK39" s="0" t="s">
        <v>46</v>
      </c>
      <c r="AL39" s="0" t="s">
        <v>46</v>
      </c>
    </row>
    <row r="40" customFormat="false" ht="15" hidden="false" customHeight="false" outlineLevel="0" collapsed="false">
      <c r="B40" s="0" t="str">
        <f aca="false">HYPERLINK("https://genome.ucsc.edu/cgi-bin/hgTracks?db=hg19&amp;position=chr11%3A124875006%2D124875006", "chr11:124875006")</f>
        <v>chr11:124875006</v>
      </c>
      <c r="C40" s="0" t="s">
        <v>389</v>
      </c>
      <c r="D40" s="0" t="n">
        <v>124875006</v>
      </c>
      <c r="E40" s="0" t="n">
        <v>124875006</v>
      </c>
      <c r="F40" s="0" t="s">
        <v>39</v>
      </c>
      <c r="G40" s="0" t="s">
        <v>57</v>
      </c>
      <c r="H40" s="0" t="s">
        <v>403</v>
      </c>
      <c r="I40" s="0" t="s">
        <v>404</v>
      </c>
      <c r="J40" s="0" t="s">
        <v>405</v>
      </c>
      <c r="K40" s="0" t="s">
        <v>46</v>
      </c>
      <c r="L40" s="0" t="str">
        <f aca="false">HYPERLINK("https://www.ncbi.nlm.nih.gov/snp/rs117398771", "rs117398771")</f>
        <v>rs117398771</v>
      </c>
      <c r="M40" s="0" t="str">
        <f aca="false">HYPERLINK("https://www.genecards.org/Search/Keyword?queryString=%5Baliases%5D(%20CCDC15%20)&amp;keywords=CCDC15", "CCDC15")</f>
        <v>CCDC15</v>
      </c>
      <c r="N40" s="0" t="s">
        <v>62</v>
      </c>
      <c r="O40" s="0" t="s">
        <v>63</v>
      </c>
      <c r="P40" s="0" t="s">
        <v>406</v>
      </c>
      <c r="Q40" s="0" t="n">
        <v>0.0173</v>
      </c>
      <c r="R40" s="0" t="n">
        <v>0.0026</v>
      </c>
      <c r="S40" s="0" t="n">
        <v>0.0018</v>
      </c>
      <c r="T40" s="0" t="n">
        <v>-1</v>
      </c>
      <c r="U40" s="0" t="n">
        <v>0.0038</v>
      </c>
      <c r="V40" s="0" t="s">
        <v>167</v>
      </c>
      <c r="W40" s="0" t="s">
        <v>47</v>
      </c>
      <c r="X40" s="0" t="s">
        <v>46</v>
      </c>
      <c r="Y40" s="0" t="s">
        <v>46</v>
      </c>
      <c r="Z40" s="0" t="s">
        <v>126</v>
      </c>
      <c r="AA40" s="0" t="s">
        <v>67</v>
      </c>
      <c r="AB40" s="0" t="s">
        <v>46</v>
      </c>
      <c r="AC40" s="0" t="s">
        <v>50</v>
      </c>
      <c r="AD40" s="0" t="s">
        <v>51</v>
      </c>
      <c r="AE40" s="0" t="s">
        <v>407</v>
      </c>
      <c r="AF40" s="0" t="s">
        <v>408</v>
      </c>
      <c r="AG40" s="0" t="s">
        <v>46</v>
      </c>
      <c r="AH40" s="0" t="s">
        <v>46</v>
      </c>
      <c r="AI40" s="0" t="s">
        <v>46</v>
      </c>
      <c r="AJ40" s="0" t="s">
        <v>46</v>
      </c>
      <c r="AK40" s="0" t="s">
        <v>46</v>
      </c>
      <c r="AL40" s="0" t="s">
        <v>46</v>
      </c>
    </row>
    <row r="41" customFormat="false" ht="15" hidden="false" customHeight="false" outlineLevel="0" collapsed="false">
      <c r="B41" s="0" t="str">
        <f aca="false">HYPERLINK("https://genome.ucsc.edu/cgi-bin/hgTracks?db=hg19&amp;position=chr12%3A53167416%2D53167416", "chr12:53167416")</f>
        <v>chr12:53167416</v>
      </c>
      <c r="C41" s="0" t="s">
        <v>183</v>
      </c>
      <c r="D41" s="0" t="n">
        <v>53167416</v>
      </c>
      <c r="E41" s="0" t="n">
        <v>53167416</v>
      </c>
      <c r="F41" s="0" t="s">
        <v>40</v>
      </c>
      <c r="G41" s="0" t="s">
        <v>57</v>
      </c>
      <c r="H41" s="0" t="s">
        <v>409</v>
      </c>
      <c r="I41" s="0" t="s">
        <v>98</v>
      </c>
      <c r="J41" s="0" t="s">
        <v>410</v>
      </c>
      <c r="K41" s="0" t="s">
        <v>46</v>
      </c>
      <c r="L41" s="0" t="str">
        <f aca="false">HYPERLINK("https://www.ncbi.nlm.nih.gov/snp/rs149868801", "rs149868801")</f>
        <v>rs149868801</v>
      </c>
      <c r="M41" s="0" t="str">
        <f aca="false">HYPERLINK("https://www.genecards.org/Search/Keyword?queryString=%5Baliases%5D(%20KRT76%20)&amp;keywords=KRT76", "KRT76")</f>
        <v>KRT76</v>
      </c>
      <c r="N41" s="0" t="s">
        <v>62</v>
      </c>
      <c r="O41" s="0" t="s">
        <v>76</v>
      </c>
      <c r="P41" s="0" t="s">
        <v>411</v>
      </c>
      <c r="Q41" s="0" t="n">
        <v>0.0138</v>
      </c>
      <c r="R41" s="0" t="n">
        <v>0.0078</v>
      </c>
      <c r="S41" s="0" t="n">
        <v>0.0076</v>
      </c>
      <c r="T41" s="0" t="n">
        <v>-1</v>
      </c>
      <c r="U41" s="0" t="n">
        <v>0.0076</v>
      </c>
      <c r="V41" s="0" t="s">
        <v>177</v>
      </c>
      <c r="W41" s="0" t="s">
        <v>46</v>
      </c>
      <c r="X41" s="0" t="s">
        <v>46</v>
      </c>
      <c r="Y41" s="0" t="s">
        <v>46</v>
      </c>
      <c r="Z41" s="0" t="s">
        <v>158</v>
      </c>
      <c r="AA41" s="0" t="s">
        <v>67</v>
      </c>
      <c r="AB41" s="0" t="s">
        <v>46</v>
      </c>
      <c r="AC41" s="0" t="s">
        <v>50</v>
      </c>
      <c r="AD41" s="0" t="s">
        <v>51</v>
      </c>
      <c r="AE41" s="0" t="s">
        <v>412</v>
      </c>
      <c r="AF41" s="0" t="s">
        <v>413</v>
      </c>
      <c r="AG41" s="0" t="s">
        <v>414</v>
      </c>
      <c r="AH41" s="0" t="s">
        <v>46</v>
      </c>
      <c r="AI41" s="0" t="s">
        <v>46</v>
      </c>
      <c r="AJ41" s="0" t="s">
        <v>46</v>
      </c>
      <c r="AK41" s="0" t="s">
        <v>46</v>
      </c>
      <c r="AL41" s="0" t="s">
        <v>46</v>
      </c>
    </row>
    <row r="42" customFormat="false" ht="15" hidden="false" customHeight="false" outlineLevel="0" collapsed="false">
      <c r="B42" s="0" t="str">
        <f aca="false">HYPERLINK("https://genome.ucsc.edu/cgi-bin/hgTracks?db=hg19&amp;position=chr19%3A3750166%2D3750166", "chr19:3750166")</f>
        <v>chr19:3750166</v>
      </c>
      <c r="C42" s="0" t="s">
        <v>241</v>
      </c>
      <c r="D42" s="0" t="n">
        <v>3750166</v>
      </c>
      <c r="E42" s="0" t="n">
        <v>3750166</v>
      </c>
      <c r="F42" s="0" t="s">
        <v>40</v>
      </c>
      <c r="G42" s="0" t="s">
        <v>82</v>
      </c>
      <c r="H42" s="0" t="s">
        <v>415</v>
      </c>
      <c r="I42" s="0" t="s">
        <v>416</v>
      </c>
      <c r="J42" s="0" t="s">
        <v>417</v>
      </c>
      <c r="K42" s="0" t="s">
        <v>46</v>
      </c>
      <c r="L42" s="0" t="str">
        <f aca="false">HYPERLINK("https://www.ncbi.nlm.nih.gov/snp/rs745572486", "rs745572486")</f>
        <v>rs745572486</v>
      </c>
      <c r="M42" s="0" t="str">
        <f aca="false">HYPERLINK("https://www.genecards.org/Search/Keyword?queryString=%5Baliases%5D(%20TJP3%20)&amp;keywords=TJP3", "TJP3")</f>
        <v>TJP3</v>
      </c>
      <c r="N42" s="0" t="s">
        <v>62</v>
      </c>
      <c r="O42" s="0" t="s">
        <v>76</v>
      </c>
      <c r="P42" s="0" t="s">
        <v>418</v>
      </c>
      <c r="Q42" s="0" t="n">
        <v>5.17E-005</v>
      </c>
      <c r="R42" s="0" t="n">
        <v>-1</v>
      </c>
      <c r="S42" s="0" t="n">
        <v>-1</v>
      </c>
      <c r="T42" s="0" t="n">
        <v>-1</v>
      </c>
      <c r="U42" s="0" t="n">
        <v>-1</v>
      </c>
      <c r="V42" s="0" t="s">
        <v>419</v>
      </c>
      <c r="W42" s="0" t="s">
        <v>46</v>
      </c>
      <c r="X42" s="0" t="s">
        <v>46</v>
      </c>
      <c r="Y42" s="0" t="s">
        <v>46</v>
      </c>
      <c r="Z42" s="0" t="s">
        <v>66</v>
      </c>
      <c r="AA42" s="0" t="s">
        <v>67</v>
      </c>
      <c r="AB42" s="0" t="s">
        <v>46</v>
      </c>
      <c r="AC42" s="0" t="s">
        <v>50</v>
      </c>
      <c r="AD42" s="0" t="s">
        <v>51</v>
      </c>
      <c r="AE42" s="0" t="s">
        <v>420</v>
      </c>
      <c r="AF42" s="0" t="s">
        <v>421</v>
      </c>
      <c r="AG42" s="0" t="s">
        <v>46</v>
      </c>
      <c r="AH42" s="0" t="s">
        <v>46</v>
      </c>
      <c r="AI42" s="0" t="s">
        <v>46</v>
      </c>
      <c r="AJ42" s="0" t="s">
        <v>46</v>
      </c>
      <c r="AK42" s="0" t="s">
        <v>46</v>
      </c>
      <c r="AL42" s="0" t="s">
        <v>46</v>
      </c>
    </row>
    <row r="43" s="2" customFormat="true" ht="15" hidden="false" customHeight="false" outlineLevel="0" collapsed="false">
      <c r="B43" s="2" t="str">
        <f aca="false">HYPERLINK("https://genome.ucsc.edu/cgi-bin/hgTracks?db=hg19&amp;position=chr19%3A44351801%2D44351801", "chr19:44351801")</f>
        <v>chr19:44351801</v>
      </c>
      <c r="C43" s="2" t="s">
        <v>241</v>
      </c>
      <c r="D43" s="2" t="n">
        <v>44351801</v>
      </c>
      <c r="E43" s="2" t="n">
        <v>44351801</v>
      </c>
      <c r="F43" s="2" t="s">
        <v>57</v>
      </c>
      <c r="G43" s="2" t="s">
        <v>82</v>
      </c>
      <c r="H43" s="2" t="s">
        <v>422</v>
      </c>
      <c r="I43" s="2" t="s">
        <v>423</v>
      </c>
      <c r="J43" s="2" t="s">
        <v>424</v>
      </c>
      <c r="K43" s="2" t="s">
        <v>46</v>
      </c>
      <c r="L43" s="2" t="str">
        <f aca="false">HYPERLINK("https://www.ncbi.nlm.nih.gov/snp/rs369795612", "rs369795612")</f>
        <v>rs369795612</v>
      </c>
      <c r="M43" s="2" t="str">
        <f aca="false">HYPERLINK("https://www.genecards.org/Search/Keyword?queryString=%5Baliases%5D(%20ZNF283%20)&amp;keywords=ZNF283", "ZNF283")</f>
        <v>ZNF283</v>
      </c>
      <c r="N43" s="2" t="s">
        <v>62</v>
      </c>
      <c r="O43" s="2" t="s">
        <v>76</v>
      </c>
      <c r="P43" s="2" t="s">
        <v>425</v>
      </c>
      <c r="Q43" s="2" t="n">
        <v>7.8E-005</v>
      </c>
      <c r="R43" s="2" t="n">
        <v>-1</v>
      </c>
      <c r="S43" s="2" t="n">
        <v>-1</v>
      </c>
      <c r="T43" s="2" t="n">
        <v>-1</v>
      </c>
      <c r="U43" s="2" t="n">
        <v>-1</v>
      </c>
      <c r="V43" s="2" t="s">
        <v>254</v>
      </c>
      <c r="W43" s="2" t="s">
        <v>46</v>
      </c>
      <c r="X43" s="2" t="s">
        <v>46</v>
      </c>
      <c r="Y43" s="2" t="s">
        <v>46</v>
      </c>
      <c r="Z43" s="2" t="s">
        <v>66</v>
      </c>
      <c r="AA43" s="2" t="s">
        <v>67</v>
      </c>
      <c r="AB43" s="2" t="s">
        <v>46</v>
      </c>
      <c r="AC43" s="2" t="s">
        <v>50</v>
      </c>
      <c r="AD43" s="2" t="s">
        <v>51</v>
      </c>
      <c r="AE43" s="2" t="s">
        <v>426</v>
      </c>
      <c r="AF43" s="2" t="s">
        <v>427</v>
      </c>
      <c r="AG43" s="2" t="s">
        <v>428</v>
      </c>
      <c r="AH43" s="2" t="s">
        <v>46</v>
      </c>
      <c r="AI43" s="2" t="s">
        <v>46</v>
      </c>
      <c r="AJ43" s="2" t="s">
        <v>46</v>
      </c>
      <c r="AK43" s="2" t="s">
        <v>46</v>
      </c>
      <c r="AL43" s="2" t="s">
        <v>46</v>
      </c>
    </row>
    <row r="44" customFormat="false" ht="15" hidden="false" customHeight="false" outlineLevel="0" collapsed="false">
      <c r="B44" s="0" t="str">
        <f aca="false">HYPERLINK("https://genome.ucsc.edu/cgi-bin/hgTracks?db=hg19&amp;position=chr2%3A16080808%2D16080808", "chr2:16080808")</f>
        <v>chr2:16080808</v>
      </c>
      <c r="C44" s="0" t="s">
        <v>71</v>
      </c>
      <c r="D44" s="0" t="n">
        <v>16080808</v>
      </c>
      <c r="E44" s="0" t="n">
        <v>16080808</v>
      </c>
      <c r="F44" s="0" t="s">
        <v>39</v>
      </c>
      <c r="G44" s="0" t="s">
        <v>40</v>
      </c>
      <c r="H44" s="0" t="s">
        <v>429</v>
      </c>
      <c r="I44" s="0" t="s">
        <v>296</v>
      </c>
      <c r="J44" s="0" t="s">
        <v>430</v>
      </c>
      <c r="K44" s="0" t="s">
        <v>46</v>
      </c>
      <c r="L44" s="0" t="s">
        <v>46</v>
      </c>
      <c r="M44" s="0" t="str">
        <f aca="false">HYPERLINK("https://www.genecards.org/Search/Keyword?queryString=%5Baliases%5D(%20MYCN%20)&amp;keywords=MYCN", "MYCN")</f>
        <v>MYCN</v>
      </c>
      <c r="N44" s="0" t="s">
        <v>431</v>
      </c>
      <c r="O44" s="0" t="s">
        <v>63</v>
      </c>
      <c r="P44" s="0" t="s">
        <v>432</v>
      </c>
      <c r="Q44" s="0" t="n">
        <v>-1</v>
      </c>
      <c r="R44" s="0" t="n">
        <v>-1</v>
      </c>
      <c r="S44" s="0" t="n">
        <v>-1</v>
      </c>
      <c r="T44" s="0" t="n">
        <v>-1</v>
      </c>
      <c r="U44" s="0" t="n">
        <v>-1</v>
      </c>
      <c r="V44" s="0" t="s">
        <v>46</v>
      </c>
      <c r="W44" s="0" t="s">
        <v>46</v>
      </c>
      <c r="X44" s="0" t="s">
        <v>46</v>
      </c>
      <c r="Y44" s="0" t="s">
        <v>46</v>
      </c>
      <c r="Z44" s="0" t="s">
        <v>46</v>
      </c>
      <c r="AA44" s="0" t="s">
        <v>67</v>
      </c>
      <c r="AB44" s="0" t="s">
        <v>46</v>
      </c>
      <c r="AC44" s="0" t="s">
        <v>50</v>
      </c>
      <c r="AD44" s="0" t="s">
        <v>51</v>
      </c>
      <c r="AE44" s="0" t="s">
        <v>433</v>
      </c>
      <c r="AF44" s="0" t="s">
        <v>434</v>
      </c>
      <c r="AG44" s="0" t="s">
        <v>435</v>
      </c>
      <c r="AH44" s="0" t="s">
        <v>436</v>
      </c>
      <c r="AI44" s="0" t="s">
        <v>46</v>
      </c>
      <c r="AJ44" s="0" t="s">
        <v>46</v>
      </c>
      <c r="AK44" s="0" t="s">
        <v>46</v>
      </c>
      <c r="AL44" s="0" t="s">
        <v>46</v>
      </c>
    </row>
    <row r="45" customFormat="false" ht="15" hidden="false" customHeight="false" outlineLevel="0" collapsed="false">
      <c r="B45" s="0" t="str">
        <f aca="false">HYPERLINK("https://genome.ucsc.edu/cgi-bin/hgTracks?db=hg19&amp;position=chr2%3A96519588%2D96519588", "chr2:96519588")</f>
        <v>chr2:96519588</v>
      </c>
      <c r="C45" s="0" t="s">
        <v>71</v>
      </c>
      <c r="D45" s="0" t="n">
        <v>96519588</v>
      </c>
      <c r="E45" s="0" t="n">
        <v>96519588</v>
      </c>
      <c r="F45" s="0" t="s">
        <v>39</v>
      </c>
      <c r="G45" s="0" t="s">
        <v>57</v>
      </c>
      <c r="H45" s="0" t="s">
        <v>437</v>
      </c>
      <c r="I45" s="0" t="s">
        <v>438</v>
      </c>
      <c r="J45" s="0" t="s">
        <v>439</v>
      </c>
      <c r="K45" s="0" t="s">
        <v>46</v>
      </c>
      <c r="L45" s="0" t="str">
        <f aca="false">HYPERLINK("https://www.ncbi.nlm.nih.gov/snp/rs56121945", "rs56121945")</f>
        <v>rs56121945</v>
      </c>
      <c r="M45" s="0" t="str">
        <f aca="false">HYPERLINK("https://www.genecards.org/Search/Keyword?queryString=%5Baliases%5D(%20ANKRD36C%20)&amp;keywords=ANKRD36C", "ANKRD36C")</f>
        <v>ANKRD36C</v>
      </c>
      <c r="N45" s="0" t="s">
        <v>440</v>
      </c>
      <c r="O45" s="0" t="s">
        <v>76</v>
      </c>
      <c r="P45" s="0" t="s">
        <v>441</v>
      </c>
      <c r="Q45" s="0" t="n">
        <v>0.0005045</v>
      </c>
      <c r="R45" s="0" t="n">
        <v>-1</v>
      </c>
      <c r="S45" s="0" t="n">
        <v>-1</v>
      </c>
      <c r="T45" s="0" t="n">
        <v>-1</v>
      </c>
      <c r="U45" s="0" t="n">
        <v>-1</v>
      </c>
      <c r="V45" s="0" t="s">
        <v>384</v>
      </c>
      <c r="W45" s="0" t="s">
        <v>46</v>
      </c>
      <c r="X45" s="0" t="s">
        <v>46</v>
      </c>
      <c r="Y45" s="0" t="s">
        <v>46</v>
      </c>
      <c r="Z45" s="0" t="s">
        <v>126</v>
      </c>
      <c r="AA45" s="0" t="s">
        <v>67</v>
      </c>
      <c r="AB45" s="0" t="s">
        <v>46</v>
      </c>
      <c r="AC45" s="0" t="s">
        <v>50</v>
      </c>
      <c r="AD45" s="0" t="s">
        <v>442</v>
      </c>
      <c r="AE45" s="0" t="s">
        <v>46</v>
      </c>
      <c r="AF45" s="0" t="s">
        <v>443</v>
      </c>
      <c r="AG45" s="0" t="s">
        <v>46</v>
      </c>
      <c r="AH45" s="0" t="s">
        <v>46</v>
      </c>
      <c r="AI45" s="0" t="s">
        <v>46</v>
      </c>
      <c r="AJ45" s="0" t="s">
        <v>46</v>
      </c>
      <c r="AK45" s="0" t="s">
        <v>46</v>
      </c>
      <c r="AL45" s="0" t="s">
        <v>46</v>
      </c>
    </row>
    <row r="46" customFormat="false" ht="15" hidden="false" customHeight="false" outlineLevel="0" collapsed="false">
      <c r="B46" s="0" t="str">
        <f aca="false">HYPERLINK("https://genome.ucsc.edu/cgi-bin/hgTracks?db=hg19&amp;position=chr2%3A96521337%2D96521337", "chr2:96521337")</f>
        <v>chr2:96521337</v>
      </c>
      <c r="C46" s="0" t="s">
        <v>71</v>
      </c>
      <c r="D46" s="0" t="n">
        <v>96521337</v>
      </c>
      <c r="E46" s="0" t="n">
        <v>96521337</v>
      </c>
      <c r="F46" s="0" t="s">
        <v>39</v>
      </c>
      <c r="G46" s="0" t="s">
        <v>57</v>
      </c>
      <c r="H46" s="0" t="s">
        <v>444</v>
      </c>
      <c r="I46" s="0" t="s">
        <v>445</v>
      </c>
      <c r="J46" s="0" t="s">
        <v>446</v>
      </c>
      <c r="K46" s="0" t="s">
        <v>46</v>
      </c>
      <c r="L46" s="0" t="str">
        <f aca="false">HYPERLINK("https://www.ncbi.nlm.nih.gov/snp/rs200422439", "rs200422439")</f>
        <v>rs200422439</v>
      </c>
      <c r="M46" s="0" t="str">
        <f aca="false">HYPERLINK("https://www.genecards.org/Search/Keyword?queryString=%5Baliases%5D(%20ANKRD36C%20)&amp;keywords=ANKRD36C", "ANKRD36C")</f>
        <v>ANKRD36C</v>
      </c>
      <c r="N46" s="0" t="s">
        <v>447</v>
      </c>
      <c r="O46" s="0" t="s">
        <v>76</v>
      </c>
      <c r="P46" s="0" t="s">
        <v>448</v>
      </c>
      <c r="Q46" s="0" t="n">
        <v>6.5E-006</v>
      </c>
      <c r="R46" s="0" t="n">
        <v>-1</v>
      </c>
      <c r="S46" s="0" t="n">
        <v>-1</v>
      </c>
      <c r="T46" s="0" t="n">
        <v>-1</v>
      </c>
      <c r="U46" s="0" t="n">
        <v>-1</v>
      </c>
      <c r="V46" s="0" t="s">
        <v>254</v>
      </c>
      <c r="W46" s="0" t="s">
        <v>46</v>
      </c>
      <c r="X46" s="0" t="s">
        <v>46</v>
      </c>
      <c r="Y46" s="0" t="s">
        <v>46</v>
      </c>
      <c r="Z46" s="0" t="s">
        <v>126</v>
      </c>
      <c r="AA46" s="0" t="s">
        <v>67</v>
      </c>
      <c r="AB46" s="0" t="s">
        <v>46</v>
      </c>
      <c r="AC46" s="0" t="s">
        <v>50</v>
      </c>
      <c r="AD46" s="0" t="s">
        <v>442</v>
      </c>
      <c r="AE46" s="0" t="s">
        <v>46</v>
      </c>
      <c r="AF46" s="0" t="s">
        <v>443</v>
      </c>
      <c r="AG46" s="0" t="s">
        <v>46</v>
      </c>
      <c r="AH46" s="0" t="s">
        <v>46</v>
      </c>
      <c r="AI46" s="0" t="s">
        <v>46</v>
      </c>
      <c r="AJ46" s="0" t="s">
        <v>46</v>
      </c>
      <c r="AK46" s="0" t="s">
        <v>46</v>
      </c>
      <c r="AL46" s="0" t="s">
        <v>46</v>
      </c>
    </row>
    <row r="47" s="3" customFormat="true" ht="15" hidden="false" customHeight="false" outlineLevel="0" collapsed="false">
      <c r="B47" s="3" t="str">
        <f aca="false">HYPERLINK("https://genome.ucsc.edu/cgi-bin/hgTracks?db=hg19&amp;position=chr2%3A191904022%2D191904022", "chr2:191904022")</f>
        <v>chr2:191904022</v>
      </c>
      <c r="C47" s="3" t="s">
        <v>71</v>
      </c>
      <c r="D47" s="3" t="n">
        <v>191904022</v>
      </c>
      <c r="E47" s="3" t="n">
        <v>191904022</v>
      </c>
      <c r="F47" s="3" t="s">
        <v>39</v>
      </c>
      <c r="G47" s="3" t="s">
        <v>57</v>
      </c>
      <c r="H47" s="3" t="s">
        <v>449</v>
      </c>
      <c r="I47" s="3" t="s">
        <v>450</v>
      </c>
      <c r="J47" s="3" t="s">
        <v>451</v>
      </c>
      <c r="K47" s="3" t="s">
        <v>46</v>
      </c>
      <c r="L47" s="3" t="str">
        <f aca="false">HYPERLINK("https://www.ncbi.nlm.nih.gov/snp/rs141331848", "rs141331848")</f>
        <v>rs141331848</v>
      </c>
      <c r="M47" s="3" t="str">
        <f aca="false">HYPERLINK("https://www.genecards.org/Search/Keyword?queryString=%5Baliases%5D(%20STAT4%20)&amp;keywords=STAT4", "STAT4")</f>
        <v>STAT4</v>
      </c>
      <c r="N47" s="3" t="s">
        <v>62</v>
      </c>
      <c r="O47" s="3" t="s">
        <v>63</v>
      </c>
      <c r="P47" s="3" t="s">
        <v>452</v>
      </c>
      <c r="Q47" s="3" t="n">
        <v>0.0017</v>
      </c>
      <c r="R47" s="3" t="n">
        <v>0.0022</v>
      </c>
      <c r="S47" s="3" t="n">
        <v>0.0015</v>
      </c>
      <c r="T47" s="3" t="n">
        <v>-1</v>
      </c>
      <c r="U47" s="3" t="n">
        <v>0.0031</v>
      </c>
      <c r="V47" s="3" t="s">
        <v>453</v>
      </c>
      <c r="W47" s="3" t="s">
        <v>47</v>
      </c>
      <c r="X47" s="3" t="s">
        <v>46</v>
      </c>
      <c r="Y47" s="3" t="s">
        <v>46</v>
      </c>
      <c r="Z47" s="3" t="s">
        <v>333</v>
      </c>
      <c r="AA47" s="3" t="s">
        <v>67</v>
      </c>
      <c r="AB47" s="3" t="s">
        <v>46</v>
      </c>
      <c r="AC47" s="3" t="s">
        <v>50</v>
      </c>
      <c r="AD47" s="3" t="s">
        <v>51</v>
      </c>
      <c r="AE47" s="3" t="s">
        <v>454</v>
      </c>
      <c r="AF47" s="3" t="s">
        <v>455</v>
      </c>
      <c r="AG47" s="3" t="s">
        <v>456</v>
      </c>
      <c r="AH47" s="3" t="s">
        <v>457</v>
      </c>
      <c r="AI47" s="3" t="s">
        <v>46</v>
      </c>
      <c r="AJ47" s="3" t="s">
        <v>46</v>
      </c>
      <c r="AK47" s="3" t="s">
        <v>46</v>
      </c>
      <c r="AL47" s="3" t="s">
        <v>46</v>
      </c>
    </row>
    <row r="48" customFormat="false" ht="15" hidden="false" customHeight="false" outlineLevel="0" collapsed="false">
      <c r="B48" s="0" t="str">
        <f aca="false">HYPERLINK("https://genome.ucsc.edu/cgi-bin/hgTracks?db=hg19&amp;position=chr22%3A22989566%2D22989566", "chr22:22989566")</f>
        <v>chr22:22989566</v>
      </c>
      <c r="C48" s="0" t="s">
        <v>107</v>
      </c>
      <c r="D48" s="0" t="n">
        <v>22989566</v>
      </c>
      <c r="E48" s="0" t="n">
        <v>22989566</v>
      </c>
      <c r="F48" s="0" t="s">
        <v>57</v>
      </c>
      <c r="G48" s="0" t="s">
        <v>39</v>
      </c>
      <c r="H48" s="0" t="s">
        <v>458</v>
      </c>
      <c r="I48" s="0" t="s">
        <v>459</v>
      </c>
      <c r="J48" s="0" t="s">
        <v>460</v>
      </c>
      <c r="K48" s="0" t="s">
        <v>46</v>
      </c>
      <c r="L48" s="0" t="str">
        <f aca="false">HYPERLINK("https://www.ncbi.nlm.nih.gov/snp/rs4050110", "rs4050110")</f>
        <v>rs4050110</v>
      </c>
      <c r="M48" s="0" t="str">
        <f aca="false">HYPERLINK("https://www.genecards.org/Search/Keyword?queryString=%5Baliases%5D(%20GGTLC2%20)&amp;keywords=GGTLC2", "GGTLC2")</f>
        <v>GGTLC2</v>
      </c>
      <c r="N48" s="0" t="s">
        <v>461</v>
      </c>
      <c r="O48" s="0" t="s">
        <v>63</v>
      </c>
      <c r="P48" s="0" t="s">
        <v>462</v>
      </c>
      <c r="Q48" s="0" t="n">
        <v>0.002</v>
      </c>
      <c r="R48" s="0" t="n">
        <v>0.0016</v>
      </c>
      <c r="S48" s="0" t="n">
        <v>0.0018</v>
      </c>
      <c r="T48" s="0" t="n">
        <v>-1</v>
      </c>
      <c r="U48" s="0" t="n">
        <v>0.0019</v>
      </c>
      <c r="V48" s="0" t="s">
        <v>254</v>
      </c>
      <c r="W48" s="0" t="s">
        <v>46</v>
      </c>
      <c r="X48" s="0" t="s">
        <v>307</v>
      </c>
      <c r="Y48" s="0" t="s">
        <v>200</v>
      </c>
      <c r="Z48" s="0" t="s">
        <v>463</v>
      </c>
      <c r="AA48" s="0" t="s">
        <v>67</v>
      </c>
      <c r="AB48" s="0" t="s">
        <v>46</v>
      </c>
      <c r="AC48" s="0" t="s">
        <v>50</v>
      </c>
      <c r="AD48" s="0" t="s">
        <v>51</v>
      </c>
      <c r="AE48" s="0" t="s">
        <v>464</v>
      </c>
      <c r="AF48" s="0" t="s">
        <v>465</v>
      </c>
      <c r="AG48" s="0" t="s">
        <v>46</v>
      </c>
      <c r="AH48" s="0" t="s">
        <v>46</v>
      </c>
      <c r="AI48" s="0" t="s">
        <v>46</v>
      </c>
      <c r="AJ48" s="0" t="s">
        <v>46</v>
      </c>
      <c r="AK48" s="0" t="s">
        <v>46</v>
      </c>
      <c r="AL48" s="0" t="s">
        <v>182</v>
      </c>
    </row>
    <row r="49" s="5" customFormat="true" ht="15" hidden="false" customHeight="false" outlineLevel="0" collapsed="false">
      <c r="B49" s="5" t="str">
        <f aca="false">HYPERLINK("https://genome.ucsc.edu/cgi-bin/hgTracks?db=hg19&amp;position=chr3%3A48507934%2D48507934", "chr3:48507934")</f>
        <v>chr3:48507934</v>
      </c>
      <c r="C49" s="5" t="s">
        <v>269</v>
      </c>
      <c r="D49" s="5" t="n">
        <v>48507934</v>
      </c>
      <c r="E49" s="5" t="n">
        <v>48507934</v>
      </c>
      <c r="F49" s="5" t="s">
        <v>39</v>
      </c>
      <c r="G49" s="5" t="s">
        <v>82</v>
      </c>
      <c r="H49" s="5" t="s">
        <v>466</v>
      </c>
      <c r="I49" s="5" t="s">
        <v>423</v>
      </c>
      <c r="J49" s="5" t="s">
        <v>467</v>
      </c>
      <c r="K49" s="5" t="s">
        <v>46</v>
      </c>
      <c r="L49" s="5" t="str">
        <f aca="false">HYPERLINK("https://www.ncbi.nlm.nih.gov/snp/rs144461944", "rs144461944")</f>
        <v>rs144461944</v>
      </c>
      <c r="M49" s="5" t="str">
        <f aca="false">HYPERLINK("https://www.genecards.org/Search/Keyword?queryString=%5Baliases%5D(%20ATRIP%20)%20OR%20%5Baliases%5D(%20ATRIP-TREX1%20)%20OR%20%5Baliases%5D(%20TREX1%20)&amp;keywords=ATRIP,ATRIP-TREX1,TREX1", "ATRIP;ATRIP-TREX1;TREX1")</f>
        <v>ATRIP;ATRIP-TREX1;TREX1</v>
      </c>
      <c r="N49" s="5" t="s">
        <v>468</v>
      </c>
      <c r="O49" s="5" t="s">
        <v>63</v>
      </c>
      <c r="P49" s="5" t="s">
        <v>469</v>
      </c>
      <c r="Q49" s="5" t="n">
        <v>0.004</v>
      </c>
      <c r="R49" s="5" t="n">
        <v>0.002</v>
      </c>
      <c r="S49" s="5" t="n">
        <v>0.0019</v>
      </c>
      <c r="T49" s="5" t="n">
        <v>-1</v>
      </c>
      <c r="U49" s="5" t="n">
        <v>-1</v>
      </c>
      <c r="V49" s="5" t="s">
        <v>89</v>
      </c>
      <c r="W49" s="5" t="s">
        <v>46</v>
      </c>
      <c r="X49" s="5" t="s">
        <v>46</v>
      </c>
      <c r="Y49" s="5" t="s">
        <v>46</v>
      </c>
      <c r="Z49" s="5" t="s">
        <v>66</v>
      </c>
      <c r="AA49" s="5" t="s">
        <v>67</v>
      </c>
      <c r="AB49" s="5" t="s">
        <v>46</v>
      </c>
      <c r="AC49" s="5" t="s">
        <v>50</v>
      </c>
      <c r="AD49" s="5" t="s">
        <v>470</v>
      </c>
      <c r="AE49" s="5" t="s">
        <v>471</v>
      </c>
      <c r="AF49" s="5" t="s">
        <v>472</v>
      </c>
      <c r="AG49" s="5" t="s">
        <v>473</v>
      </c>
      <c r="AH49" s="5" t="s">
        <v>474</v>
      </c>
      <c r="AI49" s="5" t="s">
        <v>46</v>
      </c>
      <c r="AJ49" s="5" t="s">
        <v>46</v>
      </c>
      <c r="AK49" s="5" t="s">
        <v>46</v>
      </c>
      <c r="AL49" s="5" t="s">
        <v>46</v>
      </c>
    </row>
    <row r="50" customFormat="false" ht="15" hidden="false" customHeight="false" outlineLevel="0" collapsed="false">
      <c r="B50" s="0" t="str">
        <f aca="false">HYPERLINK("https://genome.ucsc.edu/cgi-bin/hgTracks?db=hg19&amp;position=chr4%3A79240140%2D79240140", "chr4:79240140")</f>
        <v>chr4:79240140</v>
      </c>
      <c r="C50" s="0" t="s">
        <v>56</v>
      </c>
      <c r="D50" s="0" t="n">
        <v>79240140</v>
      </c>
      <c r="E50" s="0" t="n">
        <v>79240140</v>
      </c>
      <c r="F50" s="0" t="s">
        <v>39</v>
      </c>
      <c r="G50" s="0" t="s">
        <v>57</v>
      </c>
      <c r="H50" s="0" t="s">
        <v>475</v>
      </c>
      <c r="I50" s="0" t="s">
        <v>476</v>
      </c>
      <c r="J50" s="0" t="s">
        <v>477</v>
      </c>
      <c r="K50" s="0" t="s">
        <v>46</v>
      </c>
      <c r="L50" s="0" t="str">
        <f aca="false">HYPERLINK("https://www.ncbi.nlm.nih.gov/snp/rs369605412", "rs369605412")</f>
        <v>rs369605412</v>
      </c>
      <c r="M50" s="0" t="str">
        <f aca="false">HYPERLINK("https://www.genecards.org/Search/Keyword?queryString=%5Baliases%5D(%20FRAS1%20)&amp;keywords=FRAS1", "FRAS1")</f>
        <v>FRAS1</v>
      </c>
      <c r="N50" s="0" t="s">
        <v>62</v>
      </c>
      <c r="O50" s="0" t="s">
        <v>63</v>
      </c>
      <c r="P50" s="0" t="s">
        <v>478</v>
      </c>
      <c r="Q50" s="0" t="n">
        <v>4.53E-005</v>
      </c>
      <c r="R50" s="0" t="n">
        <v>-1</v>
      </c>
      <c r="S50" s="0" t="n">
        <v>-1</v>
      </c>
      <c r="T50" s="0" t="n">
        <v>-1</v>
      </c>
      <c r="U50" s="0" t="n">
        <v>-1</v>
      </c>
      <c r="V50" s="0" t="s">
        <v>113</v>
      </c>
      <c r="W50" s="0" t="s">
        <v>47</v>
      </c>
      <c r="X50" s="0" t="s">
        <v>46</v>
      </c>
      <c r="Y50" s="0" t="s">
        <v>46</v>
      </c>
      <c r="Z50" s="0" t="s">
        <v>158</v>
      </c>
      <c r="AA50" s="0" t="s">
        <v>67</v>
      </c>
      <c r="AB50" s="0" t="s">
        <v>46</v>
      </c>
      <c r="AC50" s="0" t="s">
        <v>50</v>
      </c>
      <c r="AD50" s="0" t="s">
        <v>51</v>
      </c>
      <c r="AE50" s="0" t="s">
        <v>479</v>
      </c>
      <c r="AF50" s="0" t="s">
        <v>480</v>
      </c>
      <c r="AG50" s="0" t="s">
        <v>46</v>
      </c>
      <c r="AH50" s="0" t="s">
        <v>481</v>
      </c>
      <c r="AI50" s="0" t="s">
        <v>46</v>
      </c>
      <c r="AJ50" s="0" t="s">
        <v>46</v>
      </c>
      <c r="AK50" s="0" t="s">
        <v>46</v>
      </c>
      <c r="AL50" s="0" t="s">
        <v>46</v>
      </c>
    </row>
    <row r="51" customFormat="false" ht="15" hidden="false" customHeight="false" outlineLevel="0" collapsed="false">
      <c r="B51" s="0" t="str">
        <f aca="false">HYPERLINK("https://genome.ucsc.edu/cgi-bin/hgTracks?db=hg19&amp;position=chr4%3A103826685%2D103826685", "chr4:103826685")</f>
        <v>chr4:103826685</v>
      </c>
      <c r="C51" s="0" t="s">
        <v>56</v>
      </c>
      <c r="D51" s="0" t="n">
        <v>103826685</v>
      </c>
      <c r="E51" s="0" t="n">
        <v>103826685</v>
      </c>
      <c r="F51" s="0" t="s">
        <v>82</v>
      </c>
      <c r="G51" s="0" t="s">
        <v>57</v>
      </c>
      <c r="H51" s="0" t="s">
        <v>482</v>
      </c>
      <c r="I51" s="0" t="s">
        <v>164</v>
      </c>
      <c r="J51" s="0" t="s">
        <v>483</v>
      </c>
      <c r="K51" s="0" t="s">
        <v>46</v>
      </c>
      <c r="L51" s="0" t="str">
        <f aca="false">HYPERLINK("https://www.ncbi.nlm.nih.gov/snp/rs77618489", "rs77618489")</f>
        <v>rs77618489</v>
      </c>
      <c r="M51" s="0" t="str">
        <f aca="false">HYPERLINK("https://www.genecards.org/Search/Keyword?queryString=%5Baliases%5D(%20SLC9B1%20)&amp;keywords=SLC9B1", "SLC9B1")</f>
        <v>SLC9B1</v>
      </c>
      <c r="N51" s="0" t="s">
        <v>62</v>
      </c>
      <c r="O51" s="0" t="s">
        <v>76</v>
      </c>
      <c r="P51" s="0" t="s">
        <v>484</v>
      </c>
      <c r="Q51" s="0" t="n">
        <v>0.0292</v>
      </c>
      <c r="R51" s="0" t="n">
        <v>0.0088</v>
      </c>
      <c r="S51" s="0" t="n">
        <v>0.0086</v>
      </c>
      <c r="T51" s="0" t="n">
        <v>-1</v>
      </c>
      <c r="U51" s="0" t="n">
        <v>0.0096</v>
      </c>
      <c r="V51" s="0" t="s">
        <v>177</v>
      </c>
      <c r="W51" s="0" t="s">
        <v>46</v>
      </c>
      <c r="X51" s="0" t="s">
        <v>46</v>
      </c>
      <c r="Y51" s="0" t="s">
        <v>46</v>
      </c>
      <c r="Z51" s="0" t="s">
        <v>126</v>
      </c>
      <c r="AA51" s="0" t="s">
        <v>67</v>
      </c>
      <c r="AB51" s="0" t="s">
        <v>46</v>
      </c>
      <c r="AC51" s="0" t="s">
        <v>50</v>
      </c>
      <c r="AD51" s="0" t="s">
        <v>385</v>
      </c>
      <c r="AE51" s="0" t="s">
        <v>485</v>
      </c>
      <c r="AF51" s="0" t="s">
        <v>486</v>
      </c>
      <c r="AG51" s="0" t="s">
        <v>46</v>
      </c>
      <c r="AH51" s="0" t="s">
        <v>46</v>
      </c>
      <c r="AI51" s="0" t="s">
        <v>46</v>
      </c>
      <c r="AJ51" s="0" t="s">
        <v>46</v>
      </c>
      <c r="AK51" s="0" t="s">
        <v>46</v>
      </c>
      <c r="AL51" s="0" t="s">
        <v>487</v>
      </c>
    </row>
    <row r="52" customFormat="false" ht="15" hidden="false" customHeight="false" outlineLevel="0" collapsed="false">
      <c r="B52" s="0" t="str">
        <f aca="false">HYPERLINK("https://genome.ucsc.edu/cgi-bin/hgTracks?db=hg19&amp;position=chr4%3A126367454%2D126367454", "chr4:126367454")</f>
        <v>chr4:126367454</v>
      </c>
      <c r="C52" s="0" t="s">
        <v>56</v>
      </c>
      <c r="D52" s="0" t="n">
        <v>126367454</v>
      </c>
      <c r="E52" s="0" t="n">
        <v>126367454</v>
      </c>
      <c r="F52" s="0" t="s">
        <v>39</v>
      </c>
      <c r="G52" s="0" t="s">
        <v>40</v>
      </c>
      <c r="H52" s="0" t="s">
        <v>488</v>
      </c>
      <c r="I52" s="0" t="s">
        <v>489</v>
      </c>
      <c r="J52" s="0" t="s">
        <v>490</v>
      </c>
      <c r="K52" s="0" t="s">
        <v>46</v>
      </c>
      <c r="L52" s="0" t="s">
        <v>46</v>
      </c>
      <c r="M52" s="0" t="str">
        <f aca="false">HYPERLINK("https://www.genecards.org/Search/Keyword?queryString=%5Baliases%5D(%20FAT4%20)&amp;keywords=FAT4", "FAT4")</f>
        <v>FAT4</v>
      </c>
      <c r="N52" s="0" t="s">
        <v>62</v>
      </c>
      <c r="O52" s="0" t="s">
        <v>63</v>
      </c>
      <c r="P52" s="0" t="s">
        <v>491</v>
      </c>
      <c r="Q52" s="0" t="n">
        <v>-1</v>
      </c>
      <c r="R52" s="0" t="n">
        <v>-1</v>
      </c>
      <c r="S52" s="0" t="n">
        <v>-1</v>
      </c>
      <c r="T52" s="0" t="n">
        <v>-1</v>
      </c>
      <c r="U52" s="0" t="n">
        <v>-1</v>
      </c>
      <c r="V52" s="0" t="s">
        <v>492</v>
      </c>
      <c r="W52" s="0" t="s">
        <v>47</v>
      </c>
      <c r="X52" s="0" t="s">
        <v>46</v>
      </c>
      <c r="Y52" s="0" t="s">
        <v>46</v>
      </c>
      <c r="Z52" s="0" t="s">
        <v>126</v>
      </c>
      <c r="AA52" s="0" t="s">
        <v>67</v>
      </c>
      <c r="AB52" s="0" t="s">
        <v>46</v>
      </c>
      <c r="AC52" s="0" t="s">
        <v>50</v>
      </c>
      <c r="AD52" s="0" t="s">
        <v>51</v>
      </c>
      <c r="AE52" s="0" t="s">
        <v>493</v>
      </c>
      <c r="AF52" s="0" t="s">
        <v>494</v>
      </c>
      <c r="AG52" s="0" t="s">
        <v>495</v>
      </c>
      <c r="AH52" s="0" t="s">
        <v>496</v>
      </c>
      <c r="AI52" s="0" t="s">
        <v>46</v>
      </c>
      <c r="AJ52" s="0" t="s">
        <v>46</v>
      </c>
      <c r="AK52" s="0" t="s">
        <v>46</v>
      </c>
      <c r="AL52" s="0" t="s">
        <v>46</v>
      </c>
    </row>
    <row r="53" customFormat="false" ht="15" hidden="false" customHeight="false" outlineLevel="0" collapsed="false">
      <c r="B53" s="0" t="str">
        <f aca="false">HYPERLINK("https://genome.ucsc.edu/cgi-bin/hgTracks?db=hg19&amp;position=chr4%3A186536312%2D186536312", "chr4:186536312")</f>
        <v>chr4:186536312</v>
      </c>
      <c r="C53" s="0" t="s">
        <v>56</v>
      </c>
      <c r="D53" s="0" t="n">
        <v>186536312</v>
      </c>
      <c r="E53" s="0" t="n">
        <v>186536312</v>
      </c>
      <c r="F53" s="0" t="s">
        <v>40</v>
      </c>
      <c r="G53" s="0" t="s">
        <v>39</v>
      </c>
      <c r="H53" s="0" t="s">
        <v>497</v>
      </c>
      <c r="I53" s="0" t="s">
        <v>360</v>
      </c>
      <c r="J53" s="0" t="s">
        <v>498</v>
      </c>
      <c r="K53" s="0" t="s">
        <v>46</v>
      </c>
      <c r="L53" s="0" t="s">
        <v>46</v>
      </c>
      <c r="M53" s="0" t="str">
        <f aca="false">HYPERLINK("https://www.genecards.org/Search/Keyword?queryString=%5Baliases%5D(%20SORBS2%20)&amp;keywords=SORBS2", "SORBS2")</f>
        <v>SORBS2</v>
      </c>
      <c r="N53" s="0" t="s">
        <v>62</v>
      </c>
      <c r="O53" s="0" t="s">
        <v>63</v>
      </c>
      <c r="P53" s="0" t="s">
        <v>499</v>
      </c>
      <c r="Q53" s="0" t="n">
        <v>-1</v>
      </c>
      <c r="R53" s="0" t="n">
        <v>-1</v>
      </c>
      <c r="S53" s="0" t="n">
        <v>-1</v>
      </c>
      <c r="T53" s="0" t="n">
        <v>-1</v>
      </c>
      <c r="U53" s="0" t="n">
        <v>-1</v>
      </c>
      <c r="V53" s="0" t="s">
        <v>394</v>
      </c>
      <c r="W53" s="0" t="s">
        <v>47</v>
      </c>
      <c r="X53" s="0" t="s">
        <v>46</v>
      </c>
      <c r="Y53" s="0" t="s">
        <v>46</v>
      </c>
      <c r="Z53" s="0" t="s">
        <v>333</v>
      </c>
      <c r="AA53" s="0" t="s">
        <v>67</v>
      </c>
      <c r="AB53" s="0" t="s">
        <v>46</v>
      </c>
      <c r="AC53" s="0" t="s">
        <v>50</v>
      </c>
      <c r="AD53" s="0" t="s">
        <v>51</v>
      </c>
      <c r="AE53" s="0" t="s">
        <v>500</v>
      </c>
      <c r="AF53" s="0" t="s">
        <v>501</v>
      </c>
      <c r="AG53" s="0" t="s">
        <v>502</v>
      </c>
      <c r="AH53" s="0" t="s">
        <v>46</v>
      </c>
      <c r="AI53" s="0" t="s">
        <v>46</v>
      </c>
      <c r="AJ53" s="0" t="s">
        <v>46</v>
      </c>
      <c r="AK53" s="0" t="s">
        <v>46</v>
      </c>
      <c r="AL53" s="0" t="s">
        <v>46</v>
      </c>
    </row>
    <row r="54" customFormat="false" ht="15" hidden="false" customHeight="false" outlineLevel="0" collapsed="false">
      <c r="B54" s="0" t="str">
        <f aca="false">HYPERLINK("https://genome.ucsc.edu/cgi-bin/hgTracks?db=hg19&amp;position=chr5%3A153783664%2D153783664", "chr5:153783664")</f>
        <v>chr5:153783664</v>
      </c>
      <c r="C54" s="0" t="s">
        <v>96</v>
      </c>
      <c r="D54" s="0" t="n">
        <v>153783664</v>
      </c>
      <c r="E54" s="0" t="n">
        <v>153783664</v>
      </c>
      <c r="F54" s="0" t="s">
        <v>39</v>
      </c>
      <c r="G54" s="0" t="s">
        <v>82</v>
      </c>
      <c r="H54" s="0" t="s">
        <v>503</v>
      </c>
      <c r="I54" s="0" t="s">
        <v>206</v>
      </c>
      <c r="J54" s="0" t="s">
        <v>504</v>
      </c>
      <c r="K54" s="0" t="s">
        <v>46</v>
      </c>
      <c r="L54" s="0" t="str">
        <f aca="false">HYPERLINK("https://www.ncbi.nlm.nih.gov/snp/rs201377561", "rs201377561")</f>
        <v>rs201377561</v>
      </c>
      <c r="M54" s="0" t="str">
        <f aca="false">HYPERLINK("https://www.genecards.org/Search/Keyword?queryString=%5Baliases%5D(%20GALNT10%20)&amp;keywords=GALNT10", "GALNT10")</f>
        <v>GALNT10</v>
      </c>
      <c r="N54" s="0" t="s">
        <v>62</v>
      </c>
      <c r="O54" s="0" t="s">
        <v>63</v>
      </c>
      <c r="P54" s="0" t="s">
        <v>505</v>
      </c>
      <c r="Q54" s="0" t="n">
        <v>0.007576</v>
      </c>
      <c r="R54" s="0" t="n">
        <v>0.0012</v>
      </c>
      <c r="S54" s="0" t="n">
        <v>0.0018</v>
      </c>
      <c r="T54" s="0" t="n">
        <v>-1</v>
      </c>
      <c r="U54" s="0" t="n">
        <v>0.0041</v>
      </c>
      <c r="V54" s="0" t="s">
        <v>506</v>
      </c>
      <c r="W54" s="0" t="s">
        <v>47</v>
      </c>
      <c r="X54" s="0" t="s">
        <v>46</v>
      </c>
      <c r="Y54" s="0" t="s">
        <v>46</v>
      </c>
      <c r="Z54" s="0" t="s">
        <v>507</v>
      </c>
      <c r="AA54" s="0" t="s">
        <v>67</v>
      </c>
      <c r="AB54" s="0" t="s">
        <v>46</v>
      </c>
      <c r="AC54" s="0" t="s">
        <v>50</v>
      </c>
      <c r="AD54" s="0" t="s">
        <v>51</v>
      </c>
      <c r="AE54" s="0" t="s">
        <v>508</v>
      </c>
      <c r="AF54" s="0" t="s">
        <v>509</v>
      </c>
      <c r="AG54" s="0" t="s">
        <v>510</v>
      </c>
      <c r="AH54" s="0" t="s">
        <v>46</v>
      </c>
      <c r="AI54" s="0" t="s">
        <v>46</v>
      </c>
      <c r="AJ54" s="0" t="s">
        <v>46</v>
      </c>
      <c r="AK54" s="0" t="s">
        <v>46</v>
      </c>
      <c r="AL54" s="0" t="s">
        <v>46</v>
      </c>
    </row>
    <row r="55" customFormat="false" ht="15" hidden="false" customHeight="false" outlineLevel="0" collapsed="false">
      <c r="B55" s="0" t="str">
        <f aca="false">HYPERLINK("https://genome.ucsc.edu/cgi-bin/hgTracks?db=hg19&amp;position=chr6%3A116544294%2D116544294", "chr6:116544294")</f>
        <v>chr6:116544294</v>
      </c>
      <c r="C55" s="0" t="s">
        <v>131</v>
      </c>
      <c r="D55" s="0" t="n">
        <v>116544294</v>
      </c>
      <c r="E55" s="0" t="n">
        <v>116544294</v>
      </c>
      <c r="F55" s="0" t="s">
        <v>39</v>
      </c>
      <c r="G55" s="0" t="s">
        <v>57</v>
      </c>
      <c r="H55" s="0" t="s">
        <v>511</v>
      </c>
      <c r="I55" s="0" t="s">
        <v>512</v>
      </c>
      <c r="J55" s="0" t="s">
        <v>513</v>
      </c>
      <c r="K55" s="0" t="s">
        <v>46</v>
      </c>
      <c r="L55" s="0" t="str">
        <f aca="false">HYPERLINK("https://www.ncbi.nlm.nih.gov/snp/rs201929595", "rs201929595")</f>
        <v>rs201929595</v>
      </c>
      <c r="M55" s="0" t="str">
        <f aca="false">HYPERLINK("https://www.genecards.org/Search/Keyword?queryString=%5Baliases%5D(%20NT5DC1%20)&amp;keywords=NT5DC1", "NT5DC1")</f>
        <v>NT5DC1</v>
      </c>
      <c r="N55" s="0" t="s">
        <v>62</v>
      </c>
      <c r="O55" s="0" t="s">
        <v>63</v>
      </c>
      <c r="P55" s="0" t="s">
        <v>514</v>
      </c>
      <c r="Q55" s="0" t="n">
        <v>0.0006</v>
      </c>
      <c r="R55" s="0" t="n">
        <v>0.0007</v>
      </c>
      <c r="S55" s="0" t="n">
        <v>0.0007</v>
      </c>
      <c r="T55" s="0" t="n">
        <v>-1</v>
      </c>
      <c r="U55" s="0" t="n">
        <v>0.0011</v>
      </c>
      <c r="V55" s="0" t="s">
        <v>102</v>
      </c>
      <c r="W55" s="0" t="s">
        <v>47</v>
      </c>
      <c r="X55" s="0" t="s">
        <v>46</v>
      </c>
      <c r="Y55" s="0" t="s">
        <v>46</v>
      </c>
      <c r="Z55" s="0" t="s">
        <v>89</v>
      </c>
      <c r="AA55" s="0" t="s">
        <v>67</v>
      </c>
      <c r="AB55" s="0" t="s">
        <v>46</v>
      </c>
      <c r="AC55" s="0" t="s">
        <v>50</v>
      </c>
      <c r="AD55" s="0" t="s">
        <v>51</v>
      </c>
      <c r="AE55" s="0" t="s">
        <v>515</v>
      </c>
      <c r="AF55" s="0" t="s">
        <v>516</v>
      </c>
      <c r="AG55" s="0" t="s">
        <v>46</v>
      </c>
      <c r="AH55" s="0" t="s">
        <v>46</v>
      </c>
      <c r="AI55" s="0" t="s">
        <v>46</v>
      </c>
      <c r="AJ55" s="0" t="s">
        <v>46</v>
      </c>
      <c r="AK55" s="0" t="s">
        <v>46</v>
      </c>
      <c r="AL55" s="0" t="s">
        <v>46</v>
      </c>
    </row>
    <row r="56" customFormat="false" ht="15" hidden="false" customHeight="false" outlineLevel="0" collapsed="false">
      <c r="A56" s="6"/>
      <c r="B56" s="6" t="str">
        <f aca="false">HYPERLINK("https://genome.ucsc.edu/cgi-bin/hgTracks?db=hg19&amp;position=chr1%3A117142868%2D117142868", "chr1:117142868")</f>
        <v>chr1:117142868</v>
      </c>
      <c r="C56" s="6" t="s">
        <v>119</v>
      </c>
      <c r="D56" s="6" t="n">
        <v>117142868</v>
      </c>
      <c r="E56" s="6" t="n">
        <v>117142868</v>
      </c>
      <c r="F56" s="6" t="s">
        <v>40</v>
      </c>
      <c r="G56" s="6" t="s">
        <v>82</v>
      </c>
      <c r="H56" s="6" t="s">
        <v>517</v>
      </c>
      <c r="I56" s="6" t="s">
        <v>518</v>
      </c>
      <c r="J56" s="6" t="s">
        <v>519</v>
      </c>
      <c r="K56" s="6" t="s">
        <v>46</v>
      </c>
      <c r="L56" s="6" t="str">
        <f aca="false">HYPERLINK("https://www.ncbi.nlm.nih.gov/snp/rs61730489", "rs61730489")</f>
        <v>rs61730489</v>
      </c>
      <c r="M56" s="6" t="str">
        <f aca="false">HYPERLINK("https://www.genecards.org/Search/Keyword?queryString=%5Baliases%5D(%20IGSF3%20)&amp;keywords=IGSF3", "IGSF3")</f>
        <v>IGSF3</v>
      </c>
      <c r="N56" s="6" t="s">
        <v>62</v>
      </c>
      <c r="O56" s="6" t="s">
        <v>76</v>
      </c>
      <c r="P56" s="6" t="s">
        <v>520</v>
      </c>
      <c r="Q56" s="6" t="n">
        <v>0.0001</v>
      </c>
      <c r="R56" s="6" t="n">
        <v>0.0001</v>
      </c>
      <c r="S56" s="6" t="n">
        <v>0.0003</v>
      </c>
      <c r="T56" s="6" t="n">
        <v>-1</v>
      </c>
      <c r="U56" s="6" t="n">
        <v>0.0002</v>
      </c>
      <c r="V56" s="6" t="s">
        <v>177</v>
      </c>
      <c r="W56" s="6" t="s">
        <v>46</v>
      </c>
      <c r="X56" s="6" t="s">
        <v>46</v>
      </c>
      <c r="Y56" s="6" t="s">
        <v>46</v>
      </c>
      <c r="Z56" s="6" t="s">
        <v>158</v>
      </c>
      <c r="AA56" s="6" t="s">
        <v>178</v>
      </c>
      <c r="AB56" s="6" t="s">
        <v>46</v>
      </c>
      <c r="AC56" s="6" t="s">
        <v>50</v>
      </c>
      <c r="AD56" s="6" t="s">
        <v>210</v>
      </c>
      <c r="AE56" s="6" t="s">
        <v>521</v>
      </c>
      <c r="AF56" s="6" t="s">
        <v>522</v>
      </c>
      <c r="AG56" s="6" t="s">
        <v>46</v>
      </c>
      <c r="AH56" s="6" t="s">
        <v>46</v>
      </c>
      <c r="AI56" s="6" t="s">
        <v>46</v>
      </c>
      <c r="AJ56" s="6" t="s">
        <v>46</v>
      </c>
      <c r="AK56" s="6" t="s">
        <v>46</v>
      </c>
      <c r="AL56" s="6" t="s">
        <v>182</v>
      </c>
    </row>
    <row r="57" customFormat="false" ht="15" hidden="false" customHeight="false" outlineLevel="0" collapsed="false">
      <c r="A57" s="6"/>
      <c r="B57" s="6" t="str">
        <f aca="false">HYPERLINK("https://genome.ucsc.edu/cgi-bin/hgTracks?db=hg19&amp;position=chr1%3A117156585%2D117156585", "chr1:117156585")</f>
        <v>chr1:117156585</v>
      </c>
      <c r="C57" s="6" t="s">
        <v>119</v>
      </c>
      <c r="D57" s="6" t="n">
        <v>117156585</v>
      </c>
      <c r="E57" s="6" t="n">
        <v>117156585</v>
      </c>
      <c r="F57" s="6" t="s">
        <v>39</v>
      </c>
      <c r="G57" s="6" t="s">
        <v>57</v>
      </c>
      <c r="H57" s="6" t="s">
        <v>523</v>
      </c>
      <c r="I57" s="6" t="s">
        <v>524</v>
      </c>
      <c r="J57" s="6" t="s">
        <v>525</v>
      </c>
      <c r="K57" s="6" t="s">
        <v>46</v>
      </c>
      <c r="L57" s="6" t="str">
        <f aca="false">HYPERLINK("https://www.ncbi.nlm.nih.gov/snp/rs139013364", "rs139013364")</f>
        <v>rs139013364</v>
      </c>
      <c r="M57" s="6" t="str">
        <f aca="false">HYPERLINK("https://www.genecards.org/Search/Keyword?queryString=%5Baliases%5D(%20IGSF3%20)&amp;keywords=IGSF3", "IGSF3")</f>
        <v>IGSF3</v>
      </c>
      <c r="N57" s="6" t="s">
        <v>62</v>
      </c>
      <c r="O57" s="6" t="s">
        <v>76</v>
      </c>
      <c r="P57" s="6" t="s">
        <v>526</v>
      </c>
      <c r="Q57" s="6" t="n">
        <v>0.0011513</v>
      </c>
      <c r="R57" s="6" t="n">
        <v>-1</v>
      </c>
      <c r="S57" s="6" t="n">
        <v>-1</v>
      </c>
      <c r="T57" s="6" t="n">
        <v>-1</v>
      </c>
      <c r="U57" s="6" t="n">
        <v>-1</v>
      </c>
      <c r="V57" s="6" t="s">
        <v>177</v>
      </c>
      <c r="W57" s="6" t="s">
        <v>46</v>
      </c>
      <c r="X57" s="6" t="s">
        <v>46</v>
      </c>
      <c r="Y57" s="6" t="s">
        <v>46</v>
      </c>
      <c r="Z57" s="6" t="s">
        <v>114</v>
      </c>
      <c r="AA57" s="6" t="s">
        <v>178</v>
      </c>
      <c r="AB57" s="6" t="s">
        <v>46</v>
      </c>
      <c r="AC57" s="6" t="s">
        <v>50</v>
      </c>
      <c r="AD57" s="6" t="s">
        <v>210</v>
      </c>
      <c r="AE57" s="6" t="s">
        <v>521</v>
      </c>
      <c r="AF57" s="6" t="s">
        <v>522</v>
      </c>
      <c r="AG57" s="6" t="s">
        <v>46</v>
      </c>
      <c r="AH57" s="6" t="s">
        <v>46</v>
      </c>
      <c r="AI57" s="6" t="s">
        <v>46</v>
      </c>
      <c r="AJ57" s="6" t="s">
        <v>46</v>
      </c>
      <c r="AK57" s="6" t="s">
        <v>46</v>
      </c>
      <c r="AL57" s="6" t="s">
        <v>487</v>
      </c>
    </row>
    <row r="58" customFormat="false" ht="15" hidden="false" customHeight="false" outlineLevel="0" collapsed="false">
      <c r="A58" s="5"/>
      <c r="B58" s="5" t="str">
        <f aca="false">HYPERLINK("https://genome.ucsc.edu/cgi-bin/hgTracks?db=hg19&amp;position=chr12%3A94772725%2D94772725", "chr12:94772725")</f>
        <v>chr12:94772725</v>
      </c>
      <c r="C58" s="5" t="s">
        <v>183</v>
      </c>
      <c r="D58" s="5" t="n">
        <v>94772725</v>
      </c>
      <c r="E58" s="5" t="n">
        <v>94772725</v>
      </c>
      <c r="F58" s="5" t="s">
        <v>39</v>
      </c>
      <c r="G58" s="5" t="s">
        <v>57</v>
      </c>
      <c r="H58" s="5" t="s">
        <v>527</v>
      </c>
      <c r="I58" s="5" t="s">
        <v>528</v>
      </c>
      <c r="J58" s="5" t="s">
        <v>529</v>
      </c>
      <c r="K58" s="5" t="s">
        <v>46</v>
      </c>
      <c r="L58" s="5" t="str">
        <f aca="false">HYPERLINK("https://www.ncbi.nlm.nih.gov/snp/rs750092874", "rs750092874")</f>
        <v>rs750092874</v>
      </c>
      <c r="M58" s="5" t="str">
        <f aca="false">HYPERLINK("https://www.genecards.org/Search/Keyword?queryString=%5Baliases%5D(%20CCDC41%20)%20OR%20%5Baliases%5D(%20CEP83%20)&amp;keywords=CCDC41,CEP83", "CCDC41;CEP83")</f>
        <v>CCDC41;CEP83</v>
      </c>
      <c r="N58" s="5" t="s">
        <v>62</v>
      </c>
      <c r="O58" s="5" t="s">
        <v>76</v>
      </c>
      <c r="P58" s="5" t="s">
        <v>530</v>
      </c>
      <c r="Q58" s="5" t="n">
        <v>6.5E-006</v>
      </c>
      <c r="R58" s="5" t="n">
        <v>-1</v>
      </c>
      <c r="S58" s="5" t="n">
        <v>-1</v>
      </c>
      <c r="T58" s="5" t="n">
        <v>-1</v>
      </c>
      <c r="U58" s="5" t="n">
        <v>-1</v>
      </c>
      <c r="V58" s="5" t="s">
        <v>384</v>
      </c>
      <c r="W58" s="5" t="s">
        <v>46</v>
      </c>
      <c r="X58" s="5" t="s">
        <v>46</v>
      </c>
      <c r="Y58" s="5" t="s">
        <v>46</v>
      </c>
      <c r="Z58" s="5" t="s">
        <v>126</v>
      </c>
      <c r="AA58" s="5" t="s">
        <v>178</v>
      </c>
      <c r="AB58" s="5" t="s">
        <v>46</v>
      </c>
      <c r="AC58" s="5" t="s">
        <v>50</v>
      </c>
      <c r="AD58" s="5" t="s">
        <v>191</v>
      </c>
      <c r="AE58" s="5" t="s">
        <v>46</v>
      </c>
      <c r="AF58" s="5" t="s">
        <v>531</v>
      </c>
      <c r="AG58" s="5" t="s">
        <v>532</v>
      </c>
      <c r="AH58" s="5" t="s">
        <v>533</v>
      </c>
      <c r="AI58" s="5" t="s">
        <v>46</v>
      </c>
      <c r="AJ58" s="5" t="s">
        <v>46</v>
      </c>
      <c r="AK58" s="5" t="s">
        <v>46</v>
      </c>
      <c r="AL58" s="5" t="s">
        <v>46</v>
      </c>
    </row>
    <row r="59" customFormat="false" ht="15" hidden="false" customHeight="false" outlineLevel="0" collapsed="false">
      <c r="B59" s="0" t="str">
        <f aca="false">HYPERLINK("https://genome.ucsc.edu/cgi-bin/hgTracks?db=hg19&amp;position=chr1%3A117158898%2D117158898", "chr1:117158898")</f>
        <v>chr1:117158898</v>
      </c>
      <c r="C59" s="0" t="s">
        <v>119</v>
      </c>
      <c r="D59" s="0" t="n">
        <v>117158898</v>
      </c>
      <c r="E59" s="0" t="n">
        <v>117158898</v>
      </c>
      <c r="F59" s="0" t="s">
        <v>40</v>
      </c>
      <c r="G59" s="0" t="s">
        <v>82</v>
      </c>
      <c r="H59" s="0" t="s">
        <v>534</v>
      </c>
      <c r="I59" s="0" t="s">
        <v>535</v>
      </c>
      <c r="J59" s="0" t="s">
        <v>536</v>
      </c>
      <c r="K59" s="0" t="s">
        <v>46</v>
      </c>
      <c r="L59" s="0" t="str">
        <f aca="false">HYPERLINK("https://www.ncbi.nlm.nih.gov/snp/rs186152746", "rs186152746")</f>
        <v>rs186152746</v>
      </c>
      <c r="M59" s="0" t="str">
        <f aca="false">HYPERLINK("https://www.genecards.org/Search/Keyword?queryString=%5Baliases%5D(%20IGSF3%20)&amp;keywords=IGSF3", "IGSF3")</f>
        <v>IGSF3</v>
      </c>
      <c r="N59" s="0" t="s">
        <v>62</v>
      </c>
      <c r="O59" s="0" t="s">
        <v>537</v>
      </c>
      <c r="P59" s="0" t="s">
        <v>538</v>
      </c>
      <c r="Q59" s="0" t="n">
        <v>6.5E-006</v>
      </c>
      <c r="R59" s="0" t="n">
        <v>-1</v>
      </c>
      <c r="S59" s="0" t="n">
        <v>-1</v>
      </c>
      <c r="T59" s="0" t="n">
        <v>-1</v>
      </c>
      <c r="U59" s="0" t="n">
        <v>-1</v>
      </c>
      <c r="V59" s="0" t="s">
        <v>539</v>
      </c>
      <c r="W59" s="0" t="s">
        <v>46</v>
      </c>
      <c r="X59" s="0" t="s">
        <v>46</v>
      </c>
      <c r="Y59" s="0" t="s">
        <v>46</v>
      </c>
      <c r="Z59" s="0" t="s">
        <v>66</v>
      </c>
      <c r="AA59" s="0" t="s">
        <v>90</v>
      </c>
      <c r="AB59" s="0" t="s">
        <v>46</v>
      </c>
      <c r="AC59" s="0" t="s">
        <v>50</v>
      </c>
      <c r="AD59" s="0" t="s">
        <v>210</v>
      </c>
      <c r="AE59" s="0" t="s">
        <v>521</v>
      </c>
      <c r="AF59" s="0" t="s">
        <v>522</v>
      </c>
      <c r="AG59" s="0" t="s">
        <v>46</v>
      </c>
      <c r="AH59" s="0" t="s">
        <v>46</v>
      </c>
      <c r="AI59" s="0" t="s">
        <v>46</v>
      </c>
      <c r="AJ59" s="0" t="s">
        <v>46</v>
      </c>
      <c r="AK59" s="0" t="s">
        <v>46</v>
      </c>
      <c r="AL59" s="0" t="s">
        <v>182</v>
      </c>
    </row>
    <row r="60" customFormat="false" ht="15" hidden="false" customHeight="false" outlineLevel="0" collapsed="false">
      <c r="B60" s="0" t="str">
        <f aca="false">HYPERLINK("https://genome.ucsc.edu/cgi-bin/hgTracks?db=hg19&amp;position=chr1%3A1225439%2D1225439", "chr1:1225439")</f>
        <v>chr1:1225439</v>
      </c>
      <c r="C60" s="0" t="s">
        <v>119</v>
      </c>
      <c r="D60" s="0" t="n">
        <v>1225439</v>
      </c>
      <c r="E60" s="0" t="n">
        <v>1225439</v>
      </c>
      <c r="F60" s="0" t="s">
        <v>82</v>
      </c>
      <c r="G60" s="0" t="s">
        <v>57</v>
      </c>
      <c r="H60" s="0" t="s">
        <v>540</v>
      </c>
      <c r="I60" s="0" t="s">
        <v>541</v>
      </c>
      <c r="J60" s="0" t="s">
        <v>542</v>
      </c>
      <c r="K60" s="0" t="s">
        <v>46</v>
      </c>
      <c r="L60" s="0" t="s">
        <v>46</v>
      </c>
      <c r="M60" s="0" t="str">
        <f aca="false">HYPERLINK("https://www.genecards.org/Search/Keyword?queryString=%5Baliases%5D(%20SCNN1D%20)&amp;keywords=SCNN1D", "SCNN1D")</f>
        <v>SCNN1D</v>
      </c>
      <c r="N60" s="0" t="s">
        <v>45</v>
      </c>
      <c r="O60" s="0" t="s">
        <v>46</v>
      </c>
      <c r="P60" s="0" t="s">
        <v>46</v>
      </c>
      <c r="Q60" s="0" t="n">
        <v>0.0064</v>
      </c>
      <c r="R60" s="0" t="n">
        <v>0.0021</v>
      </c>
      <c r="S60" s="0" t="n">
        <v>0.0019</v>
      </c>
      <c r="T60" s="0" t="n">
        <v>-1</v>
      </c>
      <c r="U60" s="0" t="n">
        <v>0.0023</v>
      </c>
      <c r="V60" s="0" t="s">
        <v>46</v>
      </c>
      <c r="W60" s="0" t="s">
        <v>46</v>
      </c>
      <c r="X60" s="0" t="s">
        <v>47</v>
      </c>
      <c r="Y60" s="0" t="s">
        <v>48</v>
      </c>
      <c r="Z60" s="0" t="s">
        <v>46</v>
      </c>
      <c r="AA60" s="0" t="s">
        <v>46</v>
      </c>
      <c r="AB60" s="0" t="s">
        <v>46</v>
      </c>
      <c r="AC60" s="0" t="s">
        <v>50</v>
      </c>
      <c r="AD60" s="0" t="s">
        <v>51</v>
      </c>
      <c r="AE60" s="0" t="s">
        <v>543</v>
      </c>
      <c r="AF60" s="0" t="s">
        <v>544</v>
      </c>
      <c r="AG60" s="0" t="s">
        <v>545</v>
      </c>
      <c r="AH60" s="0" t="s">
        <v>46</v>
      </c>
      <c r="AI60" s="0" t="s">
        <v>46</v>
      </c>
      <c r="AJ60" s="0" t="s">
        <v>46</v>
      </c>
      <c r="AK60" s="0" t="s">
        <v>46</v>
      </c>
      <c r="AL60" s="0" t="s">
        <v>46</v>
      </c>
    </row>
    <row r="61" customFormat="false" ht="15" hidden="false" customHeight="false" outlineLevel="0" collapsed="false">
      <c r="B61" s="0" t="str">
        <f aca="false">HYPERLINK("https://genome.ucsc.edu/cgi-bin/hgTracks?db=hg19&amp;position=chr1%3A1647955%2D1647955", "chr1:1647955")</f>
        <v>chr1:1647955</v>
      </c>
      <c r="C61" s="0" t="s">
        <v>119</v>
      </c>
      <c r="D61" s="0" t="n">
        <v>1647955</v>
      </c>
      <c r="E61" s="0" t="n">
        <v>1647955</v>
      </c>
      <c r="F61" s="0" t="s">
        <v>82</v>
      </c>
      <c r="G61" s="0" t="s">
        <v>40</v>
      </c>
      <c r="H61" s="0" t="s">
        <v>546</v>
      </c>
      <c r="I61" s="0" t="s">
        <v>416</v>
      </c>
      <c r="J61" s="0" t="s">
        <v>547</v>
      </c>
      <c r="K61" s="0" t="s">
        <v>46</v>
      </c>
      <c r="L61" s="0" t="str">
        <f aca="false">HYPERLINK("https://www.ncbi.nlm.nih.gov/snp/rs202222725", "rs202222725")</f>
        <v>rs202222725</v>
      </c>
      <c r="M61" s="0" t="str">
        <f aca="false">HYPERLINK("https://www.genecards.org/Search/Keyword?queryString=%5Baliases%5D(%20CDK11A%20)%20OR%20%5Baliases%5D(%20CDK11B%20)%20OR%20%5Baliases%5D(%20SLC35E2B%20)&amp;keywords=CDK11A,CDK11B,SLC35E2B", "CDK11A;CDK11B;SLC35E2B")</f>
        <v>CDK11A;CDK11B;SLC35E2B</v>
      </c>
      <c r="N61" s="0" t="s">
        <v>306</v>
      </c>
      <c r="O61" s="0" t="s">
        <v>46</v>
      </c>
      <c r="P61" s="0" t="s">
        <v>46</v>
      </c>
      <c r="Q61" s="0" t="n">
        <v>0.0009</v>
      </c>
      <c r="R61" s="0" t="n">
        <v>0.0001</v>
      </c>
      <c r="S61" s="0" t="n">
        <v>-1</v>
      </c>
      <c r="T61" s="0" t="n">
        <v>-1</v>
      </c>
      <c r="U61" s="0" t="n">
        <v>-1</v>
      </c>
      <c r="V61" s="0" t="s">
        <v>46</v>
      </c>
      <c r="W61" s="0" t="s">
        <v>46</v>
      </c>
      <c r="X61" s="0" t="s">
        <v>354</v>
      </c>
      <c r="Y61" s="0" t="s">
        <v>48</v>
      </c>
      <c r="Z61" s="0" t="s">
        <v>46</v>
      </c>
      <c r="AA61" s="0" t="s">
        <v>46</v>
      </c>
      <c r="AB61" s="0" t="s">
        <v>46</v>
      </c>
      <c r="AC61" s="0" t="s">
        <v>50</v>
      </c>
      <c r="AD61" s="0" t="s">
        <v>548</v>
      </c>
      <c r="AE61" s="0" t="s">
        <v>549</v>
      </c>
      <c r="AF61" s="0" t="s">
        <v>550</v>
      </c>
      <c r="AG61" s="0" t="s">
        <v>551</v>
      </c>
      <c r="AH61" s="0" t="s">
        <v>46</v>
      </c>
      <c r="AI61" s="0" t="s">
        <v>46</v>
      </c>
      <c r="AJ61" s="0" t="s">
        <v>46</v>
      </c>
      <c r="AK61" s="0" t="s">
        <v>46</v>
      </c>
      <c r="AL61" s="0" t="s">
        <v>46</v>
      </c>
    </row>
    <row r="62" customFormat="false" ht="15" hidden="false" customHeight="false" outlineLevel="0" collapsed="false">
      <c r="B62" s="0" t="str">
        <f aca="false">HYPERLINK("https://genome.ucsc.edu/cgi-bin/hgTracks?db=hg19&amp;position=chr1%3A2428883%2D2428883", "chr1:2428883")</f>
        <v>chr1:2428883</v>
      </c>
      <c r="C62" s="0" t="s">
        <v>119</v>
      </c>
      <c r="D62" s="0" t="n">
        <v>2428883</v>
      </c>
      <c r="E62" s="0" t="n">
        <v>2428883</v>
      </c>
      <c r="F62" s="0" t="s">
        <v>39</v>
      </c>
      <c r="G62" s="0" t="s">
        <v>57</v>
      </c>
      <c r="H62" s="0" t="s">
        <v>552</v>
      </c>
      <c r="I62" s="0" t="s">
        <v>553</v>
      </c>
      <c r="J62" s="0" t="s">
        <v>554</v>
      </c>
      <c r="K62" s="0" t="s">
        <v>46</v>
      </c>
      <c r="L62" s="0" t="str">
        <f aca="false">HYPERLINK("https://www.ncbi.nlm.nih.gov/snp/rs926325058", "rs926325058")</f>
        <v>rs926325058</v>
      </c>
      <c r="M62" s="0" t="str">
        <f aca="false">HYPERLINK("https://www.genecards.org/Search/Keyword?queryString=%5Baliases%5D(%20PLCH2%20)&amp;keywords=PLCH2", "PLCH2")</f>
        <v>PLCH2</v>
      </c>
      <c r="N62" s="0" t="s">
        <v>45</v>
      </c>
      <c r="O62" s="0" t="s">
        <v>46</v>
      </c>
      <c r="P62" s="0" t="s">
        <v>46</v>
      </c>
      <c r="Q62" s="0" t="n">
        <v>0.0014</v>
      </c>
      <c r="R62" s="0" t="n">
        <v>0.0019</v>
      </c>
      <c r="S62" s="0" t="n">
        <v>0.0014</v>
      </c>
      <c r="T62" s="0" t="n">
        <v>-1</v>
      </c>
      <c r="U62" s="0" t="n">
        <v>0.0031</v>
      </c>
      <c r="V62" s="0" t="s">
        <v>46</v>
      </c>
      <c r="W62" s="0" t="s">
        <v>46</v>
      </c>
      <c r="X62" s="0" t="s">
        <v>354</v>
      </c>
      <c r="Y62" s="0" t="s">
        <v>48</v>
      </c>
      <c r="Z62" s="0" t="s">
        <v>46</v>
      </c>
      <c r="AA62" s="0" t="s">
        <v>46</v>
      </c>
      <c r="AB62" s="0" t="s">
        <v>46</v>
      </c>
      <c r="AC62" s="0" t="s">
        <v>50</v>
      </c>
      <c r="AD62" s="0" t="s">
        <v>51</v>
      </c>
      <c r="AE62" s="0" t="s">
        <v>555</v>
      </c>
      <c r="AF62" s="0" t="s">
        <v>556</v>
      </c>
      <c r="AG62" s="0" t="s">
        <v>557</v>
      </c>
      <c r="AH62" s="0" t="s">
        <v>46</v>
      </c>
      <c r="AI62" s="0" t="s">
        <v>46</v>
      </c>
      <c r="AJ62" s="0" t="s">
        <v>46</v>
      </c>
      <c r="AK62" s="0" t="s">
        <v>46</v>
      </c>
      <c r="AL62" s="0" t="s">
        <v>46</v>
      </c>
    </row>
    <row r="63" customFormat="false" ht="15" hidden="false" customHeight="false" outlineLevel="0" collapsed="false">
      <c r="B63" s="0" t="str">
        <f aca="false">HYPERLINK("https://genome.ucsc.edu/cgi-bin/hgTracks?db=hg19&amp;position=chr1%3A20971980%2D20971980", "chr1:20971980")</f>
        <v>chr1:20971980</v>
      </c>
      <c r="C63" s="0" t="s">
        <v>119</v>
      </c>
      <c r="D63" s="0" t="n">
        <v>20971980</v>
      </c>
      <c r="E63" s="0" t="n">
        <v>20971980</v>
      </c>
      <c r="F63" s="0" t="s">
        <v>185</v>
      </c>
      <c r="G63" s="0" t="s">
        <v>558</v>
      </c>
      <c r="H63" s="0" t="s">
        <v>559</v>
      </c>
      <c r="I63" s="0" t="s">
        <v>560</v>
      </c>
      <c r="J63" s="0" t="s">
        <v>561</v>
      </c>
      <c r="K63" s="0" t="s">
        <v>46</v>
      </c>
      <c r="L63" s="0" t="s">
        <v>46</v>
      </c>
      <c r="M63" s="0" t="str">
        <f aca="false">HYPERLINK("https://www.genecards.org/Search/Keyword?queryString=%5Baliases%5D(%20PINK1%20)%20OR%20%5Baliases%5D(%20PINK1-AS%20)&amp;keywords=PINK1,PINK1-AS", "PINK1;PINK1-AS")</f>
        <v>PINK1;PINK1-AS</v>
      </c>
      <c r="N63" s="0" t="s">
        <v>306</v>
      </c>
      <c r="O63" s="0" t="s">
        <v>46</v>
      </c>
      <c r="P63" s="0" t="s">
        <v>46</v>
      </c>
      <c r="Q63" s="0" t="n">
        <v>0.0029172</v>
      </c>
      <c r="R63" s="0" t="n">
        <v>-1</v>
      </c>
      <c r="S63" s="0" t="n">
        <v>-1</v>
      </c>
      <c r="T63" s="0" t="n">
        <v>-1</v>
      </c>
      <c r="U63" s="0" t="n">
        <v>-1</v>
      </c>
      <c r="V63" s="0" t="s">
        <v>46</v>
      </c>
      <c r="W63" s="0" t="s">
        <v>46</v>
      </c>
      <c r="X63" s="0" t="s">
        <v>46</v>
      </c>
      <c r="Y63" s="0" t="s">
        <v>46</v>
      </c>
      <c r="Z63" s="0" t="s">
        <v>46</v>
      </c>
      <c r="AA63" s="0" t="s">
        <v>46</v>
      </c>
      <c r="AB63" s="0" t="s">
        <v>46</v>
      </c>
      <c r="AC63" s="0" t="s">
        <v>254</v>
      </c>
      <c r="AD63" s="0" t="s">
        <v>191</v>
      </c>
      <c r="AE63" s="0" t="s">
        <v>562</v>
      </c>
      <c r="AF63" s="0" t="s">
        <v>563</v>
      </c>
      <c r="AG63" s="0" t="s">
        <v>564</v>
      </c>
      <c r="AH63" s="0" t="s">
        <v>565</v>
      </c>
      <c r="AI63" s="0" t="s">
        <v>46</v>
      </c>
      <c r="AJ63" s="0" t="s">
        <v>46</v>
      </c>
      <c r="AK63" s="0" t="s">
        <v>46</v>
      </c>
      <c r="AL63" s="0" t="s">
        <v>46</v>
      </c>
    </row>
    <row r="64" customFormat="false" ht="15" hidden="false" customHeight="false" outlineLevel="0" collapsed="false">
      <c r="B64" s="0" t="str">
        <f aca="false">HYPERLINK("https://genome.ucsc.edu/cgi-bin/hgTracks?db=hg19&amp;position=chr1%3A22336545%2D22336545", "chr1:22336545")</f>
        <v>chr1:22336545</v>
      </c>
      <c r="C64" s="0" t="s">
        <v>119</v>
      </c>
      <c r="D64" s="0" t="n">
        <v>22336545</v>
      </c>
      <c r="E64" s="0" t="n">
        <v>22336545</v>
      </c>
      <c r="F64" s="0" t="s">
        <v>39</v>
      </c>
      <c r="G64" s="0" t="s">
        <v>57</v>
      </c>
      <c r="H64" s="0" t="s">
        <v>566</v>
      </c>
      <c r="I64" s="0" t="s">
        <v>278</v>
      </c>
      <c r="J64" s="0" t="s">
        <v>567</v>
      </c>
      <c r="K64" s="0" t="s">
        <v>46</v>
      </c>
      <c r="L64" s="0" t="str">
        <f aca="false">HYPERLINK("https://www.ncbi.nlm.nih.gov/snp/rs879217257", "rs879217257")</f>
        <v>rs879217257</v>
      </c>
      <c r="M64" s="0" t="str">
        <f aca="false">HYPERLINK("https://www.genecards.org/Search/Keyword?queryString=%5Baliases%5D(%20CELA3A%20)&amp;keywords=CELA3A", "CELA3A")</f>
        <v>CELA3A</v>
      </c>
      <c r="N64" s="0" t="s">
        <v>45</v>
      </c>
      <c r="O64" s="0" t="s">
        <v>46</v>
      </c>
      <c r="P64" s="0" t="s">
        <v>46</v>
      </c>
      <c r="Q64" s="0" t="n">
        <v>0.024079</v>
      </c>
      <c r="R64" s="0" t="n">
        <v>0.0071</v>
      </c>
      <c r="S64" s="0" t="n">
        <v>0.0087</v>
      </c>
      <c r="T64" s="0" t="n">
        <v>-1</v>
      </c>
      <c r="U64" s="0" t="n">
        <v>0.012</v>
      </c>
      <c r="V64" s="0" t="s">
        <v>46</v>
      </c>
      <c r="W64" s="0" t="s">
        <v>46</v>
      </c>
      <c r="X64" s="0" t="s">
        <v>47</v>
      </c>
      <c r="Y64" s="0" t="s">
        <v>48</v>
      </c>
      <c r="Z64" s="0" t="s">
        <v>46</v>
      </c>
      <c r="AA64" s="0" t="s">
        <v>46</v>
      </c>
      <c r="AB64" s="0" t="s">
        <v>46</v>
      </c>
      <c r="AC64" s="0" t="s">
        <v>50</v>
      </c>
      <c r="AD64" s="0" t="s">
        <v>51</v>
      </c>
      <c r="AE64" s="0" t="s">
        <v>568</v>
      </c>
      <c r="AF64" s="0" t="s">
        <v>569</v>
      </c>
      <c r="AG64" s="0" t="s">
        <v>570</v>
      </c>
      <c r="AH64" s="0" t="s">
        <v>46</v>
      </c>
      <c r="AI64" s="0" t="s">
        <v>571</v>
      </c>
      <c r="AJ64" s="0" t="s">
        <v>46</v>
      </c>
      <c r="AK64" s="0" t="s">
        <v>46</v>
      </c>
      <c r="AL64" s="0" t="s">
        <v>46</v>
      </c>
    </row>
    <row r="65" customFormat="false" ht="15" hidden="false" customHeight="false" outlineLevel="0" collapsed="false">
      <c r="B65" s="0" t="str">
        <f aca="false">HYPERLINK("https://genome.ucsc.edu/cgi-bin/hgTracks?db=hg19&amp;position=chr1%3A33485790%2D33485807", "chr1:33485790")</f>
        <v>chr1:33485790</v>
      </c>
      <c r="C65" s="0" t="s">
        <v>119</v>
      </c>
      <c r="D65" s="0" t="n">
        <v>33485790</v>
      </c>
      <c r="E65" s="0" t="n">
        <v>33485807</v>
      </c>
      <c r="F65" s="0" t="s">
        <v>572</v>
      </c>
      <c r="G65" s="0" t="s">
        <v>185</v>
      </c>
      <c r="H65" s="0" t="s">
        <v>573</v>
      </c>
      <c r="I65" s="0" t="s">
        <v>574</v>
      </c>
      <c r="J65" s="0" t="s">
        <v>575</v>
      </c>
      <c r="K65" s="0" t="s">
        <v>46</v>
      </c>
      <c r="L65" s="0" t="s">
        <v>46</v>
      </c>
      <c r="M65" s="0" t="str">
        <f aca="false">HYPERLINK("https://www.genecards.org/Search/Keyword?queryString=%5Baliases%5D(%20AK2%20)%20OR%20%5Baliases%5D(%20BC036308%20)&amp;keywords=AK2,BC036308", "AK2;BC036308")</f>
        <v>AK2;BC036308</v>
      </c>
      <c r="N65" s="0" t="s">
        <v>306</v>
      </c>
      <c r="O65" s="0" t="s">
        <v>46</v>
      </c>
      <c r="P65" s="0" t="s">
        <v>46</v>
      </c>
      <c r="Q65" s="0" t="n">
        <v>0.0001294</v>
      </c>
      <c r="R65" s="0" t="n">
        <v>-1</v>
      </c>
      <c r="S65" s="0" t="n">
        <v>-1</v>
      </c>
      <c r="T65" s="0" t="n">
        <v>-1</v>
      </c>
      <c r="U65" s="0" t="n">
        <v>-1</v>
      </c>
      <c r="V65" s="0" t="s">
        <v>46</v>
      </c>
      <c r="W65" s="0" t="s">
        <v>46</v>
      </c>
      <c r="X65" s="0" t="s">
        <v>46</v>
      </c>
      <c r="Y65" s="0" t="s">
        <v>46</v>
      </c>
      <c r="Z65" s="0" t="s">
        <v>46</v>
      </c>
      <c r="AA65" s="0" t="s">
        <v>46</v>
      </c>
      <c r="AB65" s="0" t="s">
        <v>46</v>
      </c>
      <c r="AC65" s="0" t="s">
        <v>254</v>
      </c>
      <c r="AD65" s="0" t="s">
        <v>576</v>
      </c>
      <c r="AE65" s="0" t="s">
        <v>577</v>
      </c>
      <c r="AF65" s="0" t="s">
        <v>578</v>
      </c>
      <c r="AG65" s="0" t="s">
        <v>579</v>
      </c>
      <c r="AH65" s="0" t="s">
        <v>580</v>
      </c>
      <c r="AI65" s="0" t="s">
        <v>46</v>
      </c>
      <c r="AJ65" s="0" t="s">
        <v>46</v>
      </c>
      <c r="AK65" s="0" t="s">
        <v>46</v>
      </c>
      <c r="AL65" s="0" t="s">
        <v>46</v>
      </c>
    </row>
    <row r="66" customFormat="false" ht="15" hidden="false" customHeight="false" outlineLevel="0" collapsed="false">
      <c r="B66" s="0" t="str">
        <f aca="false">HYPERLINK("https://genome.ucsc.edu/cgi-bin/hgTracks?db=hg19&amp;position=chr1%3A33485807%2D33485807", "chr1:33485807")</f>
        <v>chr1:33485807</v>
      </c>
      <c r="C66" s="0" t="s">
        <v>119</v>
      </c>
      <c r="D66" s="0" t="n">
        <v>33485807</v>
      </c>
      <c r="E66" s="0" t="n">
        <v>33485807</v>
      </c>
      <c r="F66" s="0" t="s">
        <v>185</v>
      </c>
      <c r="G66" s="0" t="s">
        <v>581</v>
      </c>
      <c r="H66" s="0" t="s">
        <v>573</v>
      </c>
      <c r="I66" s="0" t="s">
        <v>574</v>
      </c>
      <c r="J66" s="0" t="s">
        <v>575</v>
      </c>
      <c r="K66" s="0" t="s">
        <v>46</v>
      </c>
      <c r="L66" s="0" t="s">
        <v>46</v>
      </c>
      <c r="M66" s="0" t="str">
        <f aca="false">HYPERLINK("https://www.genecards.org/Search/Keyword?queryString=%5Baliases%5D(%20AK2%20)%20OR%20%5Baliases%5D(%20BC036308%20)&amp;keywords=AK2,BC036308", "AK2;BC036308")</f>
        <v>AK2;BC036308</v>
      </c>
      <c r="N66" s="0" t="s">
        <v>306</v>
      </c>
      <c r="O66" s="0" t="s">
        <v>46</v>
      </c>
      <c r="P66" s="0" t="s">
        <v>46</v>
      </c>
      <c r="Q66" s="0" t="n">
        <v>-1</v>
      </c>
      <c r="R66" s="0" t="n">
        <v>-1</v>
      </c>
      <c r="S66" s="0" t="n">
        <v>-1</v>
      </c>
      <c r="T66" s="0" t="n">
        <v>-1</v>
      </c>
      <c r="U66" s="0" t="n">
        <v>-1</v>
      </c>
      <c r="V66" s="0" t="s">
        <v>46</v>
      </c>
      <c r="W66" s="0" t="s">
        <v>46</v>
      </c>
      <c r="X66" s="0" t="s">
        <v>46</v>
      </c>
      <c r="Y66" s="0" t="s">
        <v>46</v>
      </c>
      <c r="Z66" s="0" t="s">
        <v>46</v>
      </c>
      <c r="AA66" s="0" t="s">
        <v>46</v>
      </c>
      <c r="AB66" s="0" t="s">
        <v>46</v>
      </c>
      <c r="AC66" s="0" t="s">
        <v>254</v>
      </c>
      <c r="AD66" s="0" t="s">
        <v>576</v>
      </c>
      <c r="AE66" s="0" t="s">
        <v>577</v>
      </c>
      <c r="AF66" s="0" t="s">
        <v>578</v>
      </c>
      <c r="AG66" s="0" t="s">
        <v>579</v>
      </c>
      <c r="AH66" s="0" t="s">
        <v>580</v>
      </c>
      <c r="AI66" s="0" t="s">
        <v>46</v>
      </c>
      <c r="AJ66" s="0" t="s">
        <v>46</v>
      </c>
      <c r="AK66" s="0" t="s">
        <v>46</v>
      </c>
      <c r="AL66" s="0" t="s">
        <v>46</v>
      </c>
    </row>
    <row r="67" customFormat="false" ht="15" hidden="false" customHeight="false" outlineLevel="0" collapsed="false">
      <c r="B67" s="0" t="str">
        <f aca="false">HYPERLINK("https://genome.ucsc.edu/cgi-bin/hgTracks?db=hg19&amp;position=chr1%3A33558831%2D33558831", "chr1:33558831")</f>
        <v>chr1:33558831</v>
      </c>
      <c r="C67" s="0" t="s">
        <v>119</v>
      </c>
      <c r="D67" s="0" t="n">
        <v>33558831</v>
      </c>
      <c r="E67" s="0" t="n">
        <v>33558831</v>
      </c>
      <c r="F67" s="0" t="s">
        <v>39</v>
      </c>
      <c r="G67" s="0" t="s">
        <v>57</v>
      </c>
      <c r="H67" s="0" t="s">
        <v>582</v>
      </c>
      <c r="I67" s="0" t="s">
        <v>583</v>
      </c>
      <c r="J67" s="0" t="s">
        <v>584</v>
      </c>
      <c r="K67" s="0" t="s">
        <v>46</v>
      </c>
      <c r="L67" s="0" t="str">
        <f aca="false">HYPERLINK("https://www.ncbi.nlm.nih.gov/snp/rs144010458", "rs144010458")</f>
        <v>rs144010458</v>
      </c>
      <c r="M67" s="0" t="str">
        <f aca="false">HYPERLINK("https://www.genecards.org/Search/Keyword?queryString=%5Baliases%5D(%20ADC%20)%20OR%20%5Baliases%5D(%20AZIN2%20)&amp;keywords=ADC,AZIN2", "ADC;AZIN2")</f>
        <v>ADC;AZIN2</v>
      </c>
      <c r="N67" s="0" t="s">
        <v>45</v>
      </c>
      <c r="O67" s="0" t="s">
        <v>46</v>
      </c>
      <c r="P67" s="0" t="s">
        <v>46</v>
      </c>
      <c r="Q67" s="0" t="n">
        <v>0.0119194</v>
      </c>
      <c r="R67" s="0" t="n">
        <v>0.0072</v>
      </c>
      <c r="S67" s="0" t="n">
        <v>0.009</v>
      </c>
      <c r="T67" s="0" t="n">
        <v>-1</v>
      </c>
      <c r="U67" s="0" t="n">
        <v>0.0122</v>
      </c>
      <c r="V67" s="0" t="s">
        <v>46</v>
      </c>
      <c r="W67" s="0" t="s">
        <v>46</v>
      </c>
      <c r="X67" s="0" t="s">
        <v>47</v>
      </c>
      <c r="Y67" s="0" t="s">
        <v>48</v>
      </c>
      <c r="Z67" s="0" t="s">
        <v>46</v>
      </c>
      <c r="AA67" s="0" t="s">
        <v>46</v>
      </c>
      <c r="AB67" s="0" t="s">
        <v>46</v>
      </c>
      <c r="AC67" s="0" t="s">
        <v>50</v>
      </c>
      <c r="AD67" s="0" t="s">
        <v>191</v>
      </c>
      <c r="AE67" s="0" t="s">
        <v>46</v>
      </c>
      <c r="AF67" s="0" t="s">
        <v>585</v>
      </c>
      <c r="AG67" s="0" t="s">
        <v>586</v>
      </c>
      <c r="AH67" s="0" t="s">
        <v>46</v>
      </c>
      <c r="AI67" s="0" t="s">
        <v>46</v>
      </c>
      <c r="AJ67" s="0" t="s">
        <v>46</v>
      </c>
      <c r="AK67" s="0" t="s">
        <v>46</v>
      </c>
      <c r="AL67" s="0" t="s">
        <v>46</v>
      </c>
    </row>
    <row r="68" customFormat="false" ht="15" hidden="false" customHeight="false" outlineLevel="0" collapsed="false">
      <c r="B68" s="0" t="str">
        <f aca="false">HYPERLINK("https://genome.ucsc.edu/cgi-bin/hgTracks?db=hg19&amp;position=chr1%3A33777670%2D33777673", "chr1:33777670")</f>
        <v>chr1:33777670</v>
      </c>
      <c r="C68" s="0" t="s">
        <v>119</v>
      </c>
      <c r="D68" s="0" t="n">
        <v>33777670</v>
      </c>
      <c r="E68" s="0" t="n">
        <v>33777673</v>
      </c>
      <c r="F68" s="0" t="s">
        <v>587</v>
      </c>
      <c r="G68" s="0" t="s">
        <v>185</v>
      </c>
      <c r="H68" s="0" t="s">
        <v>588</v>
      </c>
      <c r="I68" s="0" t="s">
        <v>589</v>
      </c>
      <c r="J68" s="0" t="s">
        <v>590</v>
      </c>
      <c r="K68" s="0" t="s">
        <v>46</v>
      </c>
      <c r="L68" s="0" t="str">
        <f aca="false">HYPERLINK("https://www.ncbi.nlm.nih.gov/snp/rs201715975", "rs201715975")</f>
        <v>rs201715975</v>
      </c>
      <c r="M68" s="0" t="str">
        <f aca="false">HYPERLINK("https://www.genecards.org/Search/Keyword?queryString=%5Baliases%5D(%20A3GALT2%20)&amp;keywords=A3GALT2", "A3GALT2")</f>
        <v>A3GALT2</v>
      </c>
      <c r="N68" s="0" t="s">
        <v>62</v>
      </c>
      <c r="O68" s="0" t="s">
        <v>262</v>
      </c>
      <c r="P68" s="0" t="s">
        <v>591</v>
      </c>
      <c r="Q68" s="0" t="n">
        <v>0.0219</v>
      </c>
      <c r="R68" s="0" t="n">
        <v>0.0199</v>
      </c>
      <c r="S68" s="0" t="n">
        <v>0.0211</v>
      </c>
      <c r="T68" s="0" t="n">
        <v>-1</v>
      </c>
      <c r="U68" s="0" t="n">
        <v>0.0138</v>
      </c>
      <c r="V68" s="0" t="s">
        <v>46</v>
      </c>
      <c r="W68" s="0" t="s">
        <v>46</v>
      </c>
      <c r="X68" s="0" t="s">
        <v>46</v>
      </c>
      <c r="Y68" s="0" t="s">
        <v>46</v>
      </c>
      <c r="Z68" s="0" t="s">
        <v>46</v>
      </c>
      <c r="AA68" s="0" t="s">
        <v>46</v>
      </c>
      <c r="AB68" s="0" t="s">
        <v>46</v>
      </c>
      <c r="AC68" s="0" t="s">
        <v>50</v>
      </c>
      <c r="AD68" s="0" t="s">
        <v>51</v>
      </c>
      <c r="AE68" s="0" t="s">
        <v>592</v>
      </c>
      <c r="AF68" s="0" t="s">
        <v>593</v>
      </c>
      <c r="AG68" s="0" t="s">
        <v>46</v>
      </c>
      <c r="AH68" s="0" t="s">
        <v>46</v>
      </c>
      <c r="AI68" s="0" t="s">
        <v>46</v>
      </c>
      <c r="AJ68" s="0" t="s">
        <v>46</v>
      </c>
      <c r="AK68" s="0" t="s">
        <v>46</v>
      </c>
      <c r="AL68" s="0" t="s">
        <v>46</v>
      </c>
    </row>
    <row r="69" customFormat="false" ht="15" hidden="false" customHeight="false" outlineLevel="0" collapsed="false">
      <c r="B69" s="0" t="str">
        <f aca="false">HYPERLINK("https://genome.ucsc.edu/cgi-bin/hgTracks?db=hg19&amp;position=chr1%3A39333174%2D39333174", "chr1:39333174")</f>
        <v>chr1:39333174</v>
      </c>
      <c r="C69" s="0" t="s">
        <v>119</v>
      </c>
      <c r="D69" s="0" t="n">
        <v>39333174</v>
      </c>
      <c r="E69" s="0" t="n">
        <v>39333174</v>
      </c>
      <c r="F69" s="0" t="s">
        <v>82</v>
      </c>
      <c r="G69" s="0" t="s">
        <v>40</v>
      </c>
      <c r="H69" s="0" t="s">
        <v>594</v>
      </c>
      <c r="I69" s="0" t="s">
        <v>595</v>
      </c>
      <c r="J69" s="0" t="s">
        <v>596</v>
      </c>
      <c r="K69" s="0" t="s">
        <v>46</v>
      </c>
      <c r="L69" s="0" t="str">
        <f aca="false">HYPERLINK("https://www.ncbi.nlm.nih.gov/snp/rs980509474", "rs980509474")</f>
        <v>rs980509474</v>
      </c>
      <c r="M69" s="0" t="str">
        <f aca="false">HYPERLINK("https://www.genecards.org/Search/Keyword?queryString=%5Baliases%5D(%20GJA9-MYCBP%20)%20OR%20%5Baliases%5D(%20MYCBP%20)%20OR%20%5Baliases%5D(%20RRAGC%20)&amp;keywords=GJA9-MYCBP,MYCBP,RRAGC", "GJA9-MYCBP;MYCBP;RRAGC")</f>
        <v>GJA9-MYCBP;MYCBP;RRAGC</v>
      </c>
      <c r="N69" s="0" t="s">
        <v>306</v>
      </c>
      <c r="O69" s="0" t="s">
        <v>46</v>
      </c>
      <c r="P69" s="0" t="s">
        <v>46</v>
      </c>
      <c r="Q69" s="0" t="n">
        <v>0.0003</v>
      </c>
      <c r="R69" s="0" t="n">
        <v>0.0004</v>
      </c>
      <c r="S69" s="0" t="n">
        <v>0.0004</v>
      </c>
      <c r="T69" s="0" t="n">
        <v>-1</v>
      </c>
      <c r="U69" s="0" t="n">
        <v>0.0004</v>
      </c>
      <c r="V69" s="0" t="s">
        <v>46</v>
      </c>
      <c r="W69" s="0" t="s">
        <v>46</v>
      </c>
      <c r="X69" s="0" t="s">
        <v>354</v>
      </c>
      <c r="Y69" s="0" t="s">
        <v>48</v>
      </c>
      <c r="Z69" s="0" t="s">
        <v>46</v>
      </c>
      <c r="AA69" s="0" t="s">
        <v>46</v>
      </c>
      <c r="AB69" s="0" t="s">
        <v>46</v>
      </c>
      <c r="AC69" s="0" t="s">
        <v>50</v>
      </c>
      <c r="AD69" s="0" t="s">
        <v>548</v>
      </c>
      <c r="AE69" s="0" t="s">
        <v>597</v>
      </c>
      <c r="AF69" s="0" t="s">
        <v>598</v>
      </c>
      <c r="AG69" s="0" t="s">
        <v>599</v>
      </c>
      <c r="AH69" s="0" t="s">
        <v>46</v>
      </c>
      <c r="AI69" s="0" t="s">
        <v>46</v>
      </c>
      <c r="AJ69" s="0" t="s">
        <v>46</v>
      </c>
      <c r="AK69" s="0" t="s">
        <v>46</v>
      </c>
      <c r="AL69" s="0" t="s">
        <v>46</v>
      </c>
    </row>
    <row r="70" customFormat="false" ht="15" hidden="false" customHeight="false" outlineLevel="0" collapsed="false">
      <c r="B70" s="0" t="str">
        <f aca="false">HYPERLINK("https://genome.ucsc.edu/cgi-bin/hgTracks?db=hg19&amp;position=chr1%3A63894798%2D63894798", "chr1:63894798")</f>
        <v>chr1:63894798</v>
      </c>
      <c r="C70" s="0" t="s">
        <v>119</v>
      </c>
      <c r="D70" s="0" t="n">
        <v>63894798</v>
      </c>
      <c r="E70" s="0" t="n">
        <v>63894798</v>
      </c>
      <c r="F70" s="0" t="s">
        <v>39</v>
      </c>
      <c r="G70" s="0" t="s">
        <v>57</v>
      </c>
      <c r="H70" s="0" t="s">
        <v>600</v>
      </c>
      <c r="I70" s="0" t="s">
        <v>442</v>
      </c>
      <c r="J70" s="0" t="s">
        <v>601</v>
      </c>
      <c r="K70" s="0" t="s">
        <v>46</v>
      </c>
      <c r="L70" s="0" t="s">
        <v>46</v>
      </c>
      <c r="M70" s="0" t="str">
        <f aca="false">HYPERLINK("https://www.genecards.org/Search/Keyword?queryString=%5Baliases%5D(%20ALG6%20)&amp;keywords=ALG6", "ALG6")</f>
        <v>ALG6</v>
      </c>
      <c r="N70" s="0" t="s">
        <v>602</v>
      </c>
      <c r="O70" s="0" t="s">
        <v>46</v>
      </c>
      <c r="P70" s="0" t="s">
        <v>603</v>
      </c>
      <c r="Q70" s="0" t="n">
        <v>-1</v>
      </c>
      <c r="R70" s="0" t="n">
        <v>-1</v>
      </c>
      <c r="S70" s="0" t="n">
        <v>-1</v>
      </c>
      <c r="T70" s="0" t="n">
        <v>-1</v>
      </c>
      <c r="U70" s="0" t="n">
        <v>-1</v>
      </c>
      <c r="V70" s="0" t="s">
        <v>384</v>
      </c>
      <c r="W70" s="0" t="s">
        <v>47</v>
      </c>
      <c r="X70" s="0" t="s">
        <v>47</v>
      </c>
      <c r="Y70" s="0" t="s">
        <v>200</v>
      </c>
      <c r="Z70" s="0" t="s">
        <v>114</v>
      </c>
      <c r="AA70" s="0" t="s">
        <v>46</v>
      </c>
      <c r="AB70" s="0" t="s">
        <v>46</v>
      </c>
      <c r="AC70" s="0" t="s">
        <v>50</v>
      </c>
      <c r="AD70" s="0" t="s">
        <v>51</v>
      </c>
      <c r="AE70" s="0" t="s">
        <v>604</v>
      </c>
      <c r="AF70" s="0" t="s">
        <v>605</v>
      </c>
      <c r="AG70" s="0" t="s">
        <v>606</v>
      </c>
      <c r="AH70" s="0" t="s">
        <v>607</v>
      </c>
      <c r="AI70" s="0" t="s">
        <v>46</v>
      </c>
      <c r="AJ70" s="0" t="s">
        <v>46</v>
      </c>
      <c r="AK70" s="0" t="s">
        <v>46</v>
      </c>
      <c r="AL70" s="0" t="s">
        <v>46</v>
      </c>
    </row>
    <row r="71" customFormat="false" ht="15" hidden="false" customHeight="false" outlineLevel="0" collapsed="false">
      <c r="B71" s="0" t="str">
        <f aca="false">HYPERLINK("https://genome.ucsc.edu/cgi-bin/hgTracks?db=hg19&amp;position=chr1%3A75176081%2D75176081", "chr1:75176081")</f>
        <v>chr1:75176081</v>
      </c>
      <c r="C71" s="0" t="s">
        <v>119</v>
      </c>
      <c r="D71" s="0" t="n">
        <v>75176081</v>
      </c>
      <c r="E71" s="0" t="n">
        <v>75176081</v>
      </c>
      <c r="F71" s="0" t="s">
        <v>82</v>
      </c>
      <c r="G71" s="0" t="s">
        <v>40</v>
      </c>
      <c r="H71" s="0" t="s">
        <v>608</v>
      </c>
      <c r="I71" s="0" t="s">
        <v>560</v>
      </c>
      <c r="J71" s="0" t="s">
        <v>609</v>
      </c>
      <c r="K71" s="0" t="s">
        <v>46</v>
      </c>
      <c r="L71" s="0" t="s">
        <v>46</v>
      </c>
      <c r="M71" s="0" t="str">
        <f aca="false">HYPERLINK("https://www.genecards.org/Search/Keyword?queryString=%5Baliases%5D(%20CRYZ%20)&amp;keywords=CRYZ", "CRYZ")</f>
        <v>CRYZ</v>
      </c>
      <c r="N71" s="0" t="s">
        <v>45</v>
      </c>
      <c r="O71" s="0" t="s">
        <v>46</v>
      </c>
      <c r="P71" s="0" t="s">
        <v>46</v>
      </c>
      <c r="Q71" s="0" t="n">
        <v>-1</v>
      </c>
      <c r="R71" s="0" t="n">
        <v>-1</v>
      </c>
      <c r="S71" s="0" t="n">
        <v>-1</v>
      </c>
      <c r="T71" s="0" t="n">
        <v>-1</v>
      </c>
      <c r="U71" s="0" t="n">
        <v>-1</v>
      </c>
      <c r="V71" s="0" t="s">
        <v>46</v>
      </c>
      <c r="W71" s="0" t="s">
        <v>46</v>
      </c>
      <c r="X71" s="0" t="s">
        <v>47</v>
      </c>
      <c r="Y71" s="0" t="s">
        <v>48</v>
      </c>
      <c r="Z71" s="0" t="s">
        <v>46</v>
      </c>
      <c r="AA71" s="0" t="s">
        <v>46</v>
      </c>
      <c r="AB71" s="0" t="s">
        <v>46</v>
      </c>
      <c r="AC71" s="0" t="s">
        <v>50</v>
      </c>
      <c r="AD71" s="0" t="s">
        <v>51</v>
      </c>
      <c r="AE71" s="0" t="s">
        <v>610</v>
      </c>
      <c r="AF71" s="0" t="s">
        <v>611</v>
      </c>
      <c r="AG71" s="0" t="s">
        <v>612</v>
      </c>
      <c r="AH71" s="0" t="s">
        <v>46</v>
      </c>
      <c r="AI71" s="0" t="s">
        <v>46</v>
      </c>
      <c r="AJ71" s="0" t="s">
        <v>46</v>
      </c>
      <c r="AK71" s="0" t="s">
        <v>46</v>
      </c>
      <c r="AL71" s="0" t="s">
        <v>46</v>
      </c>
    </row>
    <row r="72" customFormat="false" ht="15" hidden="false" customHeight="false" outlineLevel="0" collapsed="false">
      <c r="B72" s="0" t="str">
        <f aca="false">HYPERLINK("https://genome.ucsc.edu/cgi-bin/hgTracks?db=hg19&amp;position=chr1%3A94474540%2D94474540", "chr1:94474540")</f>
        <v>chr1:94474540</v>
      </c>
      <c r="C72" s="0" t="s">
        <v>119</v>
      </c>
      <c r="D72" s="0" t="n">
        <v>94474540</v>
      </c>
      <c r="E72" s="0" t="n">
        <v>94474540</v>
      </c>
      <c r="F72" s="0" t="s">
        <v>82</v>
      </c>
      <c r="G72" s="0" t="s">
        <v>57</v>
      </c>
      <c r="H72" s="0" t="s">
        <v>613</v>
      </c>
      <c r="I72" s="0" t="s">
        <v>614</v>
      </c>
      <c r="J72" s="0" t="s">
        <v>615</v>
      </c>
      <c r="K72" s="0" t="s">
        <v>46</v>
      </c>
      <c r="L72" s="0" t="s">
        <v>46</v>
      </c>
      <c r="M72" s="0" t="str">
        <f aca="false">HYPERLINK("https://www.genecards.org/Search/Keyword?queryString=%5Baliases%5D(%20ABCA4%20)&amp;keywords=ABCA4", "ABCA4")</f>
        <v>ABCA4</v>
      </c>
      <c r="N72" s="0" t="s">
        <v>45</v>
      </c>
      <c r="O72" s="0" t="s">
        <v>46</v>
      </c>
      <c r="P72" s="0" t="s">
        <v>46</v>
      </c>
      <c r="Q72" s="0" t="n">
        <v>-1</v>
      </c>
      <c r="R72" s="0" t="n">
        <v>-1</v>
      </c>
      <c r="S72" s="0" t="n">
        <v>-1</v>
      </c>
      <c r="T72" s="0" t="n">
        <v>-1</v>
      </c>
      <c r="U72" s="0" t="n">
        <v>-1</v>
      </c>
      <c r="V72" s="0" t="s">
        <v>46</v>
      </c>
      <c r="W72" s="0" t="s">
        <v>46</v>
      </c>
      <c r="X72" s="0" t="s">
        <v>47</v>
      </c>
      <c r="Y72" s="0" t="s">
        <v>48</v>
      </c>
      <c r="Z72" s="0" t="s">
        <v>46</v>
      </c>
      <c r="AA72" s="0" t="s">
        <v>46</v>
      </c>
      <c r="AB72" s="0" t="s">
        <v>46</v>
      </c>
      <c r="AC72" s="0" t="s">
        <v>50</v>
      </c>
      <c r="AD72" s="0" t="s">
        <v>51</v>
      </c>
      <c r="AE72" s="0" t="s">
        <v>616</v>
      </c>
      <c r="AF72" s="0" t="s">
        <v>617</v>
      </c>
      <c r="AG72" s="0" t="s">
        <v>618</v>
      </c>
      <c r="AH72" s="0" t="s">
        <v>619</v>
      </c>
      <c r="AI72" s="0" t="s">
        <v>46</v>
      </c>
      <c r="AJ72" s="0" t="s">
        <v>46</v>
      </c>
      <c r="AK72" s="0" t="s">
        <v>46</v>
      </c>
      <c r="AL72" s="0" t="s">
        <v>46</v>
      </c>
    </row>
    <row r="73" customFormat="false" ht="15" hidden="false" customHeight="false" outlineLevel="0" collapsed="false">
      <c r="B73" s="0" t="str">
        <f aca="false">HYPERLINK("https://genome.ucsc.edu/cgi-bin/hgTracks?db=hg19&amp;position=chr1%3A111770544%2D111770544", "chr1:111770544")</f>
        <v>chr1:111770544</v>
      </c>
      <c r="C73" s="0" t="s">
        <v>119</v>
      </c>
      <c r="D73" s="0" t="n">
        <v>111770544</v>
      </c>
      <c r="E73" s="0" t="n">
        <v>111770544</v>
      </c>
      <c r="F73" s="0" t="s">
        <v>39</v>
      </c>
      <c r="G73" s="0" t="s">
        <v>57</v>
      </c>
      <c r="H73" s="0" t="s">
        <v>620</v>
      </c>
      <c r="I73" s="0" t="s">
        <v>621</v>
      </c>
      <c r="J73" s="0" t="s">
        <v>622</v>
      </c>
      <c r="K73" s="0" t="s">
        <v>46</v>
      </c>
      <c r="L73" s="0" t="str">
        <f aca="false">HYPERLINK("https://www.ncbi.nlm.nih.gov/snp/rs3748717", "rs3748717")</f>
        <v>rs3748717</v>
      </c>
      <c r="M73" s="0" t="str">
        <f aca="false">HYPERLINK("https://www.genecards.org/Search/Keyword?queryString=%5Baliases%5D(%20CHI3L2%20)&amp;keywords=CHI3L2", "CHI3L2")</f>
        <v>CHI3L2</v>
      </c>
      <c r="N73" s="0" t="s">
        <v>45</v>
      </c>
      <c r="O73" s="0" t="s">
        <v>46</v>
      </c>
      <c r="P73" s="0" t="s">
        <v>46</v>
      </c>
      <c r="Q73" s="0" t="n">
        <v>0.004456</v>
      </c>
      <c r="R73" s="0" t="n">
        <v>0.0039</v>
      </c>
      <c r="S73" s="0" t="n">
        <v>0.0043</v>
      </c>
      <c r="T73" s="0" t="n">
        <v>-1</v>
      </c>
      <c r="U73" s="0" t="n">
        <v>0.0033</v>
      </c>
      <c r="V73" s="0" t="s">
        <v>46</v>
      </c>
      <c r="W73" s="0" t="s">
        <v>46</v>
      </c>
      <c r="X73" s="0" t="s">
        <v>354</v>
      </c>
      <c r="Y73" s="0" t="s">
        <v>48</v>
      </c>
      <c r="Z73" s="0" t="s">
        <v>46</v>
      </c>
      <c r="AA73" s="0" t="s">
        <v>46</v>
      </c>
      <c r="AB73" s="0" t="s">
        <v>46</v>
      </c>
      <c r="AC73" s="0" t="s">
        <v>50</v>
      </c>
      <c r="AD73" s="0" t="s">
        <v>51</v>
      </c>
      <c r="AE73" s="0" t="s">
        <v>623</v>
      </c>
      <c r="AF73" s="0" t="s">
        <v>624</v>
      </c>
      <c r="AG73" s="0" t="s">
        <v>625</v>
      </c>
      <c r="AH73" s="0" t="s">
        <v>46</v>
      </c>
      <c r="AI73" s="0" t="s">
        <v>46</v>
      </c>
      <c r="AJ73" s="0" t="s">
        <v>46</v>
      </c>
      <c r="AK73" s="0" t="s">
        <v>46</v>
      </c>
      <c r="AL73" s="0" t="s">
        <v>46</v>
      </c>
    </row>
    <row r="74" customFormat="false" ht="15" hidden="false" customHeight="false" outlineLevel="0" collapsed="false">
      <c r="B74" s="0" t="str">
        <f aca="false">HYPERLINK("https://genome.ucsc.edu/cgi-bin/hgTracks?db=hg19&amp;position=chr1%3A114397308%2D114397308", "chr1:114397308")</f>
        <v>chr1:114397308</v>
      </c>
      <c r="C74" s="0" t="s">
        <v>119</v>
      </c>
      <c r="D74" s="0" t="n">
        <v>114397308</v>
      </c>
      <c r="E74" s="0" t="n">
        <v>114397308</v>
      </c>
      <c r="F74" s="0" t="s">
        <v>40</v>
      </c>
      <c r="G74" s="0" t="s">
        <v>82</v>
      </c>
      <c r="H74" s="0" t="s">
        <v>626</v>
      </c>
      <c r="I74" s="0" t="s">
        <v>595</v>
      </c>
      <c r="J74" s="0" t="s">
        <v>627</v>
      </c>
      <c r="K74" s="0" t="s">
        <v>46</v>
      </c>
      <c r="L74" s="0" t="str">
        <f aca="false">HYPERLINK("https://www.ncbi.nlm.nih.gov/snp/rs571382336", "rs571382336")</f>
        <v>rs571382336</v>
      </c>
      <c r="M74" s="0" t="str">
        <f aca="false">HYPERLINK("https://www.genecards.org/Search/Keyword?queryString=%5Baliases%5D(%20AP4B1-AS1%20)%20OR%20%5Baliases%5D(%20PTPN22%20)&amp;keywords=AP4B1-AS1,PTPN22", "AP4B1-AS1;PTPN22")</f>
        <v>AP4B1-AS1;PTPN22</v>
      </c>
      <c r="N74" s="0" t="s">
        <v>306</v>
      </c>
      <c r="O74" s="0" t="s">
        <v>46</v>
      </c>
      <c r="P74" s="0" t="s">
        <v>46</v>
      </c>
      <c r="Q74" s="0" t="n">
        <v>0.0054</v>
      </c>
      <c r="R74" s="0" t="n">
        <v>0.006</v>
      </c>
      <c r="S74" s="0" t="n">
        <v>0.0056</v>
      </c>
      <c r="T74" s="0" t="n">
        <v>-1</v>
      </c>
      <c r="U74" s="0" t="n">
        <v>0.0081</v>
      </c>
      <c r="V74" s="0" t="s">
        <v>46</v>
      </c>
      <c r="W74" s="0" t="s">
        <v>46</v>
      </c>
      <c r="X74" s="0" t="s">
        <v>307</v>
      </c>
      <c r="Y74" s="0" t="s">
        <v>48</v>
      </c>
      <c r="Z74" s="0" t="s">
        <v>46</v>
      </c>
      <c r="AA74" s="0" t="s">
        <v>46</v>
      </c>
      <c r="AB74" s="0" t="s">
        <v>46</v>
      </c>
      <c r="AC74" s="0" t="s">
        <v>50</v>
      </c>
      <c r="AD74" s="0" t="s">
        <v>628</v>
      </c>
      <c r="AE74" s="0" t="s">
        <v>169</v>
      </c>
      <c r="AF74" s="0" t="s">
        <v>629</v>
      </c>
      <c r="AG74" s="0" t="s">
        <v>171</v>
      </c>
      <c r="AH74" s="0" t="s">
        <v>172</v>
      </c>
      <c r="AI74" s="0" t="s">
        <v>46</v>
      </c>
      <c r="AJ74" s="0" t="s">
        <v>46</v>
      </c>
      <c r="AK74" s="0" t="s">
        <v>46</v>
      </c>
      <c r="AL74" s="0" t="s">
        <v>46</v>
      </c>
    </row>
    <row r="75" customFormat="false" ht="15" hidden="false" customHeight="false" outlineLevel="0" collapsed="false">
      <c r="B75" s="0" t="str">
        <f aca="false">HYPERLINK("https://genome.ucsc.edu/cgi-bin/hgTracks?db=hg19&amp;position=chr1%3A117156326%2D117156326", "chr1:117156326")</f>
        <v>chr1:117156326</v>
      </c>
      <c r="C75" s="0" t="s">
        <v>119</v>
      </c>
      <c r="D75" s="0" t="n">
        <v>117156326</v>
      </c>
      <c r="E75" s="0" t="n">
        <v>117156326</v>
      </c>
      <c r="F75" s="0" t="s">
        <v>40</v>
      </c>
      <c r="G75" s="0" t="s">
        <v>82</v>
      </c>
      <c r="H75" s="0" t="s">
        <v>630</v>
      </c>
      <c r="I75" s="0" t="s">
        <v>631</v>
      </c>
      <c r="J75" s="0" t="s">
        <v>632</v>
      </c>
      <c r="K75" s="0" t="s">
        <v>46</v>
      </c>
      <c r="L75" s="0" t="str">
        <f aca="false">HYPERLINK("https://www.ncbi.nlm.nih.gov/snp/rs201074598", "rs201074598")</f>
        <v>rs201074598</v>
      </c>
      <c r="M75" s="0" t="str">
        <f aca="false">HYPERLINK("https://www.genecards.org/Search/Keyword?queryString=%5Baliases%5D(%20IGSF3%20)&amp;keywords=IGSF3", "IGSF3")</f>
        <v>IGSF3</v>
      </c>
      <c r="N75" s="0" t="s">
        <v>45</v>
      </c>
      <c r="O75" s="0" t="s">
        <v>46</v>
      </c>
      <c r="P75" s="0" t="s">
        <v>46</v>
      </c>
      <c r="Q75" s="0" t="n">
        <v>3.84E-005</v>
      </c>
      <c r="R75" s="0" t="n">
        <v>-1</v>
      </c>
      <c r="S75" s="0" t="n">
        <v>-1</v>
      </c>
      <c r="T75" s="0" t="n">
        <v>-1</v>
      </c>
      <c r="U75" s="0" t="n">
        <v>-1</v>
      </c>
      <c r="V75" s="0" t="s">
        <v>46</v>
      </c>
      <c r="W75" s="0" t="s">
        <v>46</v>
      </c>
      <c r="X75" s="0" t="s">
        <v>47</v>
      </c>
      <c r="Y75" s="0" t="s">
        <v>48</v>
      </c>
      <c r="Z75" s="0" t="s">
        <v>46</v>
      </c>
      <c r="AA75" s="0" t="s">
        <v>46</v>
      </c>
      <c r="AB75" s="0" t="s">
        <v>46</v>
      </c>
      <c r="AC75" s="0" t="s">
        <v>50</v>
      </c>
      <c r="AD75" s="0" t="s">
        <v>210</v>
      </c>
      <c r="AE75" s="0" t="s">
        <v>521</v>
      </c>
      <c r="AF75" s="0" t="s">
        <v>522</v>
      </c>
      <c r="AG75" s="0" t="s">
        <v>46</v>
      </c>
      <c r="AH75" s="0" t="s">
        <v>46</v>
      </c>
      <c r="AI75" s="0" t="s">
        <v>46</v>
      </c>
      <c r="AJ75" s="0" t="s">
        <v>46</v>
      </c>
      <c r="AK75" s="0" t="s">
        <v>46</v>
      </c>
      <c r="AL75" s="0" t="s">
        <v>487</v>
      </c>
    </row>
    <row r="76" customFormat="false" ht="15" hidden="false" customHeight="false" outlineLevel="0" collapsed="false">
      <c r="B76" s="0" t="str">
        <f aca="false">HYPERLINK("https://genome.ucsc.edu/cgi-bin/hgTracks?db=hg19&amp;position=chr1%3A150245082%2D150245082", "chr1:150245082")</f>
        <v>chr1:150245082</v>
      </c>
      <c r="C76" s="0" t="s">
        <v>119</v>
      </c>
      <c r="D76" s="0" t="n">
        <v>150245082</v>
      </c>
      <c r="E76" s="0" t="n">
        <v>150245082</v>
      </c>
      <c r="F76" s="0" t="s">
        <v>39</v>
      </c>
      <c r="G76" s="0" t="s">
        <v>57</v>
      </c>
      <c r="H76" s="0" t="s">
        <v>633</v>
      </c>
      <c r="I76" s="0" t="s">
        <v>634</v>
      </c>
      <c r="J76" s="0" t="s">
        <v>635</v>
      </c>
      <c r="K76" s="0" t="s">
        <v>46</v>
      </c>
      <c r="L76" s="0" t="str">
        <f aca="false">HYPERLINK("https://www.ncbi.nlm.nih.gov/snp/rs139708128", "rs139708128")</f>
        <v>rs139708128</v>
      </c>
      <c r="M76" s="0" t="str">
        <f aca="false">HYPERLINK("https://www.genecards.org/Search/Keyword?queryString=%5Baliases%5D(%20C1orf54%20)&amp;keywords=C1orf54", "C1orf54")</f>
        <v>C1orf54</v>
      </c>
      <c r="N76" s="0" t="s">
        <v>45</v>
      </c>
      <c r="O76" s="0" t="s">
        <v>46</v>
      </c>
      <c r="P76" s="0" t="s">
        <v>46</v>
      </c>
      <c r="Q76" s="0" t="n">
        <v>0.0159</v>
      </c>
      <c r="R76" s="0" t="n">
        <v>0.0111</v>
      </c>
      <c r="S76" s="0" t="n">
        <v>0.0129</v>
      </c>
      <c r="T76" s="0" t="n">
        <v>-1</v>
      </c>
      <c r="U76" s="0" t="n">
        <v>0.0087</v>
      </c>
      <c r="V76" s="0" t="s">
        <v>46</v>
      </c>
      <c r="W76" s="0" t="s">
        <v>46</v>
      </c>
      <c r="X76" s="0" t="s">
        <v>47</v>
      </c>
      <c r="Y76" s="0" t="s">
        <v>48</v>
      </c>
      <c r="Z76" s="0" t="s">
        <v>46</v>
      </c>
      <c r="AA76" s="0" t="s">
        <v>46</v>
      </c>
      <c r="AB76" s="0" t="s">
        <v>46</v>
      </c>
      <c r="AC76" s="0" t="s">
        <v>50</v>
      </c>
      <c r="AD76" s="0" t="s">
        <v>51</v>
      </c>
      <c r="AE76" s="0" t="s">
        <v>636</v>
      </c>
      <c r="AF76" s="0" t="s">
        <v>637</v>
      </c>
      <c r="AG76" s="0" t="s">
        <v>46</v>
      </c>
      <c r="AH76" s="0" t="s">
        <v>46</v>
      </c>
      <c r="AI76" s="0" t="s">
        <v>46</v>
      </c>
      <c r="AJ76" s="0" t="s">
        <v>46</v>
      </c>
      <c r="AK76" s="0" t="s">
        <v>46</v>
      </c>
      <c r="AL76" s="0" t="s">
        <v>46</v>
      </c>
    </row>
    <row r="77" customFormat="false" ht="15" hidden="false" customHeight="false" outlineLevel="0" collapsed="false">
      <c r="B77" s="0" t="str">
        <f aca="false">HYPERLINK("https://genome.ucsc.edu/cgi-bin/hgTracks?db=hg19&amp;position=chr1%3A155026606%2D155026606", "chr1:155026606")</f>
        <v>chr1:155026606</v>
      </c>
      <c r="C77" s="0" t="s">
        <v>119</v>
      </c>
      <c r="D77" s="0" t="n">
        <v>155026606</v>
      </c>
      <c r="E77" s="0" t="n">
        <v>155026606</v>
      </c>
      <c r="F77" s="0" t="s">
        <v>57</v>
      </c>
      <c r="G77" s="0" t="s">
        <v>39</v>
      </c>
      <c r="H77" s="0" t="s">
        <v>638</v>
      </c>
      <c r="I77" s="0" t="s">
        <v>198</v>
      </c>
      <c r="J77" s="0" t="s">
        <v>639</v>
      </c>
      <c r="K77" s="0" t="s">
        <v>46</v>
      </c>
      <c r="L77" s="0" t="str">
        <f aca="false">HYPERLINK("https://www.ncbi.nlm.nih.gov/snp/rs759559084", "rs759559084")</f>
        <v>rs759559084</v>
      </c>
      <c r="M77" s="0" t="str">
        <f aca="false">HYPERLINK("https://www.genecards.org/Search/Keyword?queryString=%5Baliases%5D(%20ADAM15%20)%20OR%20%5Baliases%5D(%20DCST1-AS1%20)%20OR%20%5Baliases%5D(%20LOC100505666%20)&amp;keywords=ADAM15,DCST1-AS1,LOC100505666", "ADAM15;DCST1-AS1;LOC100505666")</f>
        <v>ADAM15;DCST1-AS1;LOC100505666</v>
      </c>
      <c r="N77" s="0" t="s">
        <v>306</v>
      </c>
      <c r="O77" s="0" t="s">
        <v>46</v>
      </c>
      <c r="P77" s="0" t="s">
        <v>46</v>
      </c>
      <c r="Q77" s="0" t="n">
        <v>6.5E-006</v>
      </c>
      <c r="R77" s="0" t="n">
        <v>-1</v>
      </c>
      <c r="S77" s="0" t="n">
        <v>-1</v>
      </c>
      <c r="T77" s="0" t="n">
        <v>-1</v>
      </c>
      <c r="U77" s="0" t="n">
        <v>-1</v>
      </c>
      <c r="V77" s="0" t="s">
        <v>46</v>
      </c>
      <c r="W77" s="0" t="s">
        <v>46</v>
      </c>
      <c r="X77" s="0" t="s">
        <v>354</v>
      </c>
      <c r="Y77" s="0" t="s">
        <v>48</v>
      </c>
      <c r="Z77" s="0" t="s">
        <v>46</v>
      </c>
      <c r="AA77" s="0" t="s">
        <v>46</v>
      </c>
      <c r="AB77" s="0" t="s">
        <v>46</v>
      </c>
      <c r="AC77" s="0" t="s">
        <v>50</v>
      </c>
      <c r="AD77" s="0" t="s">
        <v>548</v>
      </c>
      <c r="AE77" s="0" t="s">
        <v>640</v>
      </c>
      <c r="AF77" s="0" t="s">
        <v>641</v>
      </c>
      <c r="AG77" s="0" t="s">
        <v>642</v>
      </c>
      <c r="AH77" s="0" t="s">
        <v>46</v>
      </c>
      <c r="AI77" s="0" t="s">
        <v>46</v>
      </c>
      <c r="AJ77" s="0" t="s">
        <v>46</v>
      </c>
      <c r="AK77" s="0" t="s">
        <v>46</v>
      </c>
      <c r="AL77" s="0" t="s">
        <v>46</v>
      </c>
    </row>
    <row r="78" customFormat="false" ht="15" hidden="false" customHeight="false" outlineLevel="0" collapsed="false">
      <c r="B78" s="0" t="str">
        <f aca="false">HYPERLINK("https://genome.ucsc.edu/cgi-bin/hgTracks?db=hg19&amp;position=chr1%3A159273545%2D159273545", "chr1:159273545")</f>
        <v>chr1:159273545</v>
      </c>
      <c r="C78" s="0" t="s">
        <v>119</v>
      </c>
      <c r="D78" s="0" t="n">
        <v>159273545</v>
      </c>
      <c r="E78" s="0" t="n">
        <v>159273545</v>
      </c>
      <c r="F78" s="0" t="s">
        <v>57</v>
      </c>
      <c r="G78" s="0" t="s">
        <v>39</v>
      </c>
      <c r="H78" s="0" t="s">
        <v>643</v>
      </c>
      <c r="I78" s="0" t="s">
        <v>644</v>
      </c>
      <c r="J78" s="0" t="s">
        <v>645</v>
      </c>
      <c r="K78" s="0" t="s">
        <v>46</v>
      </c>
      <c r="L78" s="0" t="str">
        <f aca="false">HYPERLINK("https://www.ncbi.nlm.nih.gov/snp/rs930767834", "rs930767834")</f>
        <v>rs930767834</v>
      </c>
      <c r="M78" s="0" t="str">
        <f aca="false">HYPERLINK("https://www.genecards.org/Search/Keyword?queryString=%5Baliases%5D(%20FCER1A%20)&amp;keywords=FCER1A", "FCER1A")</f>
        <v>FCER1A</v>
      </c>
      <c r="N78" s="0" t="s">
        <v>45</v>
      </c>
      <c r="O78" s="0" t="s">
        <v>46</v>
      </c>
      <c r="P78" s="0" t="s">
        <v>46</v>
      </c>
      <c r="Q78" s="0" t="n">
        <v>0.0001</v>
      </c>
      <c r="R78" s="0" t="n">
        <v>0.0001</v>
      </c>
      <c r="S78" s="0" t="n">
        <v>-1</v>
      </c>
      <c r="T78" s="0" t="n">
        <v>-1</v>
      </c>
      <c r="U78" s="0" t="n">
        <v>-1</v>
      </c>
      <c r="V78" s="0" t="s">
        <v>46</v>
      </c>
      <c r="W78" s="0" t="s">
        <v>46</v>
      </c>
      <c r="X78" s="0" t="s">
        <v>354</v>
      </c>
      <c r="Y78" s="0" t="s">
        <v>48</v>
      </c>
      <c r="Z78" s="0" t="s">
        <v>46</v>
      </c>
      <c r="AA78" s="0" t="s">
        <v>46</v>
      </c>
      <c r="AB78" s="0" t="s">
        <v>46</v>
      </c>
      <c r="AC78" s="0" t="s">
        <v>50</v>
      </c>
      <c r="AD78" s="0" t="s">
        <v>51</v>
      </c>
      <c r="AE78" s="0" t="s">
        <v>646</v>
      </c>
      <c r="AF78" s="0" t="s">
        <v>647</v>
      </c>
      <c r="AG78" s="0" t="s">
        <v>648</v>
      </c>
      <c r="AH78" s="0" t="s">
        <v>46</v>
      </c>
      <c r="AI78" s="0" t="s">
        <v>46</v>
      </c>
      <c r="AJ78" s="0" t="s">
        <v>46</v>
      </c>
      <c r="AK78" s="0" t="s">
        <v>46</v>
      </c>
      <c r="AL78" s="0" t="s">
        <v>46</v>
      </c>
    </row>
    <row r="79" customFormat="false" ht="15" hidden="false" customHeight="false" outlineLevel="0" collapsed="false">
      <c r="B79" s="0" t="str">
        <f aca="false">HYPERLINK("https://genome.ucsc.edu/cgi-bin/hgTracks?db=hg19&amp;position=chr1%3A167992095%2D167992095", "chr1:167992095")</f>
        <v>chr1:167992095</v>
      </c>
      <c r="C79" s="0" t="s">
        <v>119</v>
      </c>
      <c r="D79" s="0" t="n">
        <v>167992095</v>
      </c>
      <c r="E79" s="0" t="n">
        <v>167992095</v>
      </c>
      <c r="F79" s="0" t="s">
        <v>39</v>
      </c>
      <c r="G79" s="0" t="s">
        <v>82</v>
      </c>
      <c r="H79" s="0" t="s">
        <v>649</v>
      </c>
      <c r="I79" s="0" t="s">
        <v>650</v>
      </c>
      <c r="J79" s="0" t="s">
        <v>651</v>
      </c>
      <c r="K79" s="0" t="s">
        <v>46</v>
      </c>
      <c r="L79" s="0" t="s">
        <v>46</v>
      </c>
      <c r="M79" s="0" t="str">
        <f aca="false">HYPERLINK("https://www.genecards.org/Search/Keyword?queryString=%5Baliases%5D(%20DCAF6%20)&amp;keywords=DCAF6", "DCAF6")</f>
        <v>DCAF6</v>
      </c>
      <c r="N79" s="0" t="s">
        <v>45</v>
      </c>
      <c r="O79" s="0" t="s">
        <v>46</v>
      </c>
      <c r="P79" s="0" t="s">
        <v>46</v>
      </c>
      <c r="Q79" s="0" t="n">
        <v>-1</v>
      </c>
      <c r="R79" s="0" t="n">
        <v>-1</v>
      </c>
      <c r="S79" s="0" t="n">
        <v>-1</v>
      </c>
      <c r="T79" s="0" t="n">
        <v>-1</v>
      </c>
      <c r="U79" s="0" t="n">
        <v>-1</v>
      </c>
      <c r="V79" s="0" t="s">
        <v>46</v>
      </c>
      <c r="W79" s="0" t="s">
        <v>46</v>
      </c>
      <c r="X79" s="0" t="s">
        <v>354</v>
      </c>
      <c r="Y79" s="0" t="s">
        <v>48</v>
      </c>
      <c r="Z79" s="0" t="s">
        <v>46</v>
      </c>
      <c r="AA79" s="0" t="s">
        <v>46</v>
      </c>
      <c r="AB79" s="0" t="s">
        <v>46</v>
      </c>
      <c r="AC79" s="0" t="s">
        <v>50</v>
      </c>
      <c r="AD79" s="0" t="s">
        <v>51</v>
      </c>
      <c r="AE79" s="0" t="s">
        <v>652</v>
      </c>
      <c r="AF79" s="0" t="s">
        <v>653</v>
      </c>
      <c r="AG79" s="0" t="s">
        <v>654</v>
      </c>
      <c r="AH79" s="0" t="s">
        <v>46</v>
      </c>
      <c r="AI79" s="0" t="s">
        <v>46</v>
      </c>
      <c r="AJ79" s="0" t="s">
        <v>46</v>
      </c>
      <c r="AK79" s="0" t="s">
        <v>46</v>
      </c>
      <c r="AL79" s="0" t="s">
        <v>46</v>
      </c>
    </row>
    <row r="80" customFormat="false" ht="15" hidden="false" customHeight="false" outlineLevel="0" collapsed="false">
      <c r="B80" s="0" t="str">
        <f aca="false">HYPERLINK("https://genome.ucsc.edu/cgi-bin/hgTracks?db=hg19&amp;position=chr1%3A169799594%2D169799594", "chr1:169799594")</f>
        <v>chr1:169799594</v>
      </c>
      <c r="C80" s="0" t="s">
        <v>119</v>
      </c>
      <c r="D80" s="0" t="n">
        <v>169799594</v>
      </c>
      <c r="E80" s="0" t="n">
        <v>169799594</v>
      </c>
      <c r="F80" s="0" t="s">
        <v>57</v>
      </c>
      <c r="G80" s="0" t="s">
        <v>39</v>
      </c>
      <c r="H80" s="0" t="s">
        <v>655</v>
      </c>
      <c r="I80" s="0" t="s">
        <v>656</v>
      </c>
      <c r="J80" s="0" t="s">
        <v>657</v>
      </c>
      <c r="K80" s="0" t="s">
        <v>46</v>
      </c>
      <c r="L80" s="0" t="s">
        <v>46</v>
      </c>
      <c r="M80" s="0" t="str">
        <f aca="false">HYPERLINK("https://www.genecards.org/Search/Keyword?queryString=%5Baliases%5D(%20C1orf112%20)&amp;keywords=C1orf112", "C1orf112")</f>
        <v>C1orf112</v>
      </c>
      <c r="N80" s="0" t="s">
        <v>45</v>
      </c>
      <c r="O80" s="0" t="s">
        <v>46</v>
      </c>
      <c r="P80" s="0" t="s">
        <v>46</v>
      </c>
      <c r="Q80" s="0" t="n">
        <v>-1</v>
      </c>
      <c r="R80" s="0" t="n">
        <v>-1</v>
      </c>
      <c r="S80" s="0" t="n">
        <v>-1</v>
      </c>
      <c r="T80" s="0" t="n">
        <v>-1</v>
      </c>
      <c r="U80" s="0" t="n">
        <v>-1</v>
      </c>
      <c r="V80" s="0" t="s">
        <v>46</v>
      </c>
      <c r="W80" s="0" t="s">
        <v>46</v>
      </c>
      <c r="X80" s="0" t="s">
        <v>47</v>
      </c>
      <c r="Y80" s="0" t="s">
        <v>48</v>
      </c>
      <c r="Z80" s="0" t="s">
        <v>46</v>
      </c>
      <c r="AA80" s="0" t="s">
        <v>46</v>
      </c>
      <c r="AB80" s="0" t="s">
        <v>46</v>
      </c>
      <c r="AC80" s="0" t="s">
        <v>50</v>
      </c>
      <c r="AD80" s="0" t="s">
        <v>51</v>
      </c>
      <c r="AE80" s="0" t="s">
        <v>658</v>
      </c>
      <c r="AF80" s="0" t="s">
        <v>659</v>
      </c>
      <c r="AG80" s="0" t="s">
        <v>46</v>
      </c>
      <c r="AH80" s="0" t="s">
        <v>46</v>
      </c>
      <c r="AI80" s="0" t="s">
        <v>46</v>
      </c>
      <c r="AJ80" s="0" t="s">
        <v>46</v>
      </c>
      <c r="AK80" s="0" t="s">
        <v>46</v>
      </c>
      <c r="AL80" s="0" t="s">
        <v>46</v>
      </c>
    </row>
    <row r="81" customFormat="false" ht="15" hidden="false" customHeight="false" outlineLevel="0" collapsed="false">
      <c r="B81" s="0" t="str">
        <f aca="false">HYPERLINK("https://genome.ucsc.edu/cgi-bin/hgTracks?db=hg19&amp;position=chr1%3A182497028%2D182497028", "chr1:182497028")</f>
        <v>chr1:182497028</v>
      </c>
      <c r="C81" s="0" t="s">
        <v>119</v>
      </c>
      <c r="D81" s="0" t="n">
        <v>182497028</v>
      </c>
      <c r="E81" s="0" t="n">
        <v>182497028</v>
      </c>
      <c r="F81" s="0" t="s">
        <v>39</v>
      </c>
      <c r="G81" s="0" t="s">
        <v>57</v>
      </c>
      <c r="H81" s="0" t="s">
        <v>660</v>
      </c>
      <c r="I81" s="0" t="s">
        <v>661</v>
      </c>
      <c r="J81" s="0" t="s">
        <v>662</v>
      </c>
      <c r="K81" s="0" t="s">
        <v>46</v>
      </c>
      <c r="L81" s="0" t="str">
        <f aca="false">HYPERLINK("https://www.ncbi.nlm.nih.gov/snp/rs181551804", "rs181551804")</f>
        <v>rs181551804</v>
      </c>
      <c r="M81" s="0" t="str">
        <f aca="false">HYPERLINK("https://www.genecards.org/Search/Keyword?queryString=%5Baliases%5D(%20RGSL1%20)&amp;keywords=RGSL1", "RGSL1")</f>
        <v>RGSL1</v>
      </c>
      <c r="N81" s="0" t="s">
        <v>45</v>
      </c>
      <c r="O81" s="0" t="s">
        <v>46</v>
      </c>
      <c r="P81" s="0" t="s">
        <v>46</v>
      </c>
      <c r="Q81" s="0" t="n">
        <v>0.0168</v>
      </c>
      <c r="R81" s="0" t="n">
        <v>0.0178</v>
      </c>
      <c r="S81" s="0" t="n">
        <v>0.0167</v>
      </c>
      <c r="T81" s="0" t="n">
        <v>-1</v>
      </c>
      <c r="U81" s="0" t="n">
        <v>0.0223</v>
      </c>
      <c r="V81" s="0" t="s">
        <v>46</v>
      </c>
      <c r="W81" s="0" t="s">
        <v>46</v>
      </c>
      <c r="X81" s="0" t="s">
        <v>354</v>
      </c>
      <c r="Y81" s="0" t="s">
        <v>48</v>
      </c>
      <c r="Z81" s="0" t="s">
        <v>46</v>
      </c>
      <c r="AA81" s="0" t="s">
        <v>46</v>
      </c>
      <c r="AB81" s="0" t="s">
        <v>46</v>
      </c>
      <c r="AC81" s="0" t="s">
        <v>50</v>
      </c>
      <c r="AD81" s="0" t="s">
        <v>51</v>
      </c>
      <c r="AE81" s="0" t="s">
        <v>46</v>
      </c>
      <c r="AF81" s="0" t="s">
        <v>663</v>
      </c>
      <c r="AG81" s="0" t="s">
        <v>46</v>
      </c>
      <c r="AH81" s="0" t="s">
        <v>46</v>
      </c>
      <c r="AI81" s="0" t="s">
        <v>46</v>
      </c>
      <c r="AJ81" s="0" t="s">
        <v>46</v>
      </c>
      <c r="AK81" s="0" t="s">
        <v>46</v>
      </c>
      <c r="AL81" s="0" t="s">
        <v>46</v>
      </c>
    </row>
    <row r="82" customFormat="false" ht="15" hidden="false" customHeight="false" outlineLevel="0" collapsed="false">
      <c r="B82" s="0" t="str">
        <f aca="false">HYPERLINK("https://genome.ucsc.edu/cgi-bin/hgTracks?db=hg19&amp;position=chr1%3A206137527%2D206137527", "chr1:206137527")</f>
        <v>chr1:206137527</v>
      </c>
      <c r="C82" s="0" t="s">
        <v>119</v>
      </c>
      <c r="D82" s="0" t="n">
        <v>206137527</v>
      </c>
      <c r="E82" s="0" t="n">
        <v>206137527</v>
      </c>
      <c r="F82" s="0" t="s">
        <v>39</v>
      </c>
      <c r="G82" s="0" t="s">
        <v>57</v>
      </c>
      <c r="H82" s="0" t="s">
        <v>664</v>
      </c>
      <c r="I82" s="0" t="s">
        <v>73</v>
      </c>
      <c r="J82" s="0" t="s">
        <v>665</v>
      </c>
      <c r="K82" s="0" t="s">
        <v>46</v>
      </c>
      <c r="L82" s="0" t="str">
        <f aca="false">HYPERLINK("https://www.ncbi.nlm.nih.gov/snp/rs782314702", "rs782314702")</f>
        <v>rs782314702</v>
      </c>
      <c r="M82" s="0" t="str">
        <f aca="false">HYPERLINK("https://www.genecards.org/Search/Keyword?queryString=%5Baliases%5D(%20FAM72A%20)&amp;keywords=FAM72A", "FAM72A")</f>
        <v>FAM72A</v>
      </c>
      <c r="N82" s="0" t="s">
        <v>666</v>
      </c>
      <c r="O82" s="0" t="s">
        <v>46</v>
      </c>
      <c r="P82" s="0" t="s">
        <v>667</v>
      </c>
      <c r="Q82" s="0" t="n">
        <v>0.0059896</v>
      </c>
      <c r="R82" s="0" t="n">
        <v>0.0004</v>
      </c>
      <c r="S82" s="0" t="n">
        <v>0.0007</v>
      </c>
      <c r="T82" s="0" t="n">
        <v>-1</v>
      </c>
      <c r="U82" s="0" t="n">
        <v>0.0004</v>
      </c>
      <c r="V82" s="0" t="s">
        <v>46</v>
      </c>
      <c r="W82" s="0" t="s">
        <v>46</v>
      </c>
      <c r="X82" s="0" t="s">
        <v>47</v>
      </c>
      <c r="Y82" s="0" t="s">
        <v>48</v>
      </c>
      <c r="Z82" s="0" t="s">
        <v>46</v>
      </c>
      <c r="AA82" s="0" t="s">
        <v>46</v>
      </c>
      <c r="AB82" s="0" t="s">
        <v>46</v>
      </c>
      <c r="AC82" s="0" t="s">
        <v>50</v>
      </c>
      <c r="AD82" s="0" t="s">
        <v>51</v>
      </c>
      <c r="AE82" s="0" t="s">
        <v>46</v>
      </c>
      <c r="AF82" s="0" t="s">
        <v>668</v>
      </c>
      <c r="AG82" s="0" t="s">
        <v>669</v>
      </c>
      <c r="AH82" s="0" t="s">
        <v>46</v>
      </c>
      <c r="AI82" s="0" t="s">
        <v>46</v>
      </c>
      <c r="AJ82" s="0" t="s">
        <v>46</v>
      </c>
      <c r="AK82" s="0" t="s">
        <v>46</v>
      </c>
      <c r="AL82" s="0" t="s">
        <v>46</v>
      </c>
    </row>
    <row r="83" customFormat="false" ht="15" hidden="false" customHeight="false" outlineLevel="0" collapsed="false">
      <c r="B83" s="0" t="str">
        <f aca="false">HYPERLINK("https://genome.ucsc.edu/cgi-bin/hgTracks?db=hg19&amp;position=chr1%3A213180441%2D213180441", "chr1:213180441")</f>
        <v>chr1:213180441</v>
      </c>
      <c r="C83" s="0" t="s">
        <v>119</v>
      </c>
      <c r="D83" s="0" t="n">
        <v>213180441</v>
      </c>
      <c r="E83" s="0" t="n">
        <v>213180441</v>
      </c>
      <c r="F83" s="0" t="s">
        <v>185</v>
      </c>
      <c r="G83" s="0" t="s">
        <v>249</v>
      </c>
      <c r="H83" s="0" t="s">
        <v>670</v>
      </c>
      <c r="I83" s="0" t="s">
        <v>671</v>
      </c>
      <c r="J83" s="0" t="s">
        <v>672</v>
      </c>
      <c r="K83" s="0" t="s">
        <v>46</v>
      </c>
      <c r="L83" s="0" t="str">
        <f aca="false">HYPERLINK("https://www.ncbi.nlm.nih.gov/snp/rs71147054", "rs71147054")</f>
        <v>rs71147054</v>
      </c>
      <c r="M83" s="0" t="str">
        <f aca="false">HYPERLINK("https://www.genecards.org/Search/Keyword?queryString=%5Baliases%5D(%20ANGEL2%20)&amp;keywords=ANGEL2", "ANGEL2")</f>
        <v>ANGEL2</v>
      </c>
      <c r="N83" s="0" t="s">
        <v>280</v>
      </c>
      <c r="O83" s="0" t="s">
        <v>273</v>
      </c>
      <c r="P83" s="0" t="s">
        <v>673</v>
      </c>
      <c r="Q83" s="0" t="n">
        <v>0.0277</v>
      </c>
      <c r="R83" s="0" t="n">
        <v>0.0053</v>
      </c>
      <c r="S83" s="0" t="n">
        <v>0.0042</v>
      </c>
      <c r="T83" s="0" t="n">
        <v>-1</v>
      </c>
      <c r="U83" s="0" t="n">
        <v>0.0077</v>
      </c>
      <c r="V83" s="0" t="s">
        <v>46</v>
      </c>
      <c r="W83" s="0" t="s">
        <v>46</v>
      </c>
      <c r="X83" s="0" t="s">
        <v>46</v>
      </c>
      <c r="Y83" s="0" t="s">
        <v>46</v>
      </c>
      <c r="Z83" s="0" t="s">
        <v>46</v>
      </c>
      <c r="AA83" s="0" t="s">
        <v>46</v>
      </c>
      <c r="AB83" s="0" t="s">
        <v>46</v>
      </c>
      <c r="AC83" s="0" t="s">
        <v>254</v>
      </c>
      <c r="AD83" s="0" t="s">
        <v>51</v>
      </c>
      <c r="AE83" s="0" t="s">
        <v>674</v>
      </c>
      <c r="AF83" s="0" t="s">
        <v>675</v>
      </c>
      <c r="AG83" s="0" t="s">
        <v>46</v>
      </c>
      <c r="AH83" s="0" t="s">
        <v>46</v>
      </c>
      <c r="AI83" s="0" t="s">
        <v>46</v>
      </c>
      <c r="AJ83" s="0" t="s">
        <v>46</v>
      </c>
      <c r="AK83" s="0" t="s">
        <v>46</v>
      </c>
      <c r="AL83" s="0" t="s">
        <v>46</v>
      </c>
    </row>
    <row r="84" customFormat="false" ht="15" hidden="false" customHeight="false" outlineLevel="0" collapsed="false">
      <c r="B84" s="0" t="str">
        <f aca="false">HYPERLINK("https://genome.ucsc.edu/cgi-bin/hgTracks?db=hg19&amp;position=chr1%3A220101127%2D220101127", "chr1:220101127")</f>
        <v>chr1:220101127</v>
      </c>
      <c r="C84" s="0" t="s">
        <v>119</v>
      </c>
      <c r="D84" s="0" t="n">
        <v>220101127</v>
      </c>
      <c r="E84" s="0" t="n">
        <v>220101127</v>
      </c>
      <c r="F84" s="0" t="s">
        <v>82</v>
      </c>
      <c r="G84" s="0" t="s">
        <v>40</v>
      </c>
      <c r="H84" s="0" t="s">
        <v>676</v>
      </c>
      <c r="I84" s="0" t="s">
        <v>677</v>
      </c>
      <c r="J84" s="0" t="s">
        <v>678</v>
      </c>
      <c r="K84" s="0" t="s">
        <v>46</v>
      </c>
      <c r="L84" s="0" t="str">
        <f aca="false">HYPERLINK("https://www.ncbi.nlm.nih.gov/snp/rs185021781", "rs185021781")</f>
        <v>rs185021781</v>
      </c>
      <c r="M84" s="0" t="str">
        <f aca="false">HYPERLINK("https://www.genecards.org/Search/Keyword?queryString=%5Baliases%5D(%20RNU5F-1%20)%20OR%20%5Baliases%5D(%20SLC30A10%20)&amp;keywords=RNU5F-1,SLC30A10", "RNU5F-1;SLC30A10")</f>
        <v>RNU5F-1;SLC30A10</v>
      </c>
      <c r="N84" s="0" t="s">
        <v>306</v>
      </c>
      <c r="O84" s="0" t="s">
        <v>46</v>
      </c>
      <c r="P84" s="0" t="s">
        <v>46</v>
      </c>
      <c r="Q84" s="0" t="n">
        <v>0.0076</v>
      </c>
      <c r="R84" s="0" t="n">
        <v>0.0051</v>
      </c>
      <c r="S84" s="0" t="n">
        <v>0.0056</v>
      </c>
      <c r="T84" s="0" t="n">
        <v>-1</v>
      </c>
      <c r="U84" s="0" t="n">
        <v>0.0084</v>
      </c>
      <c r="V84" s="0" t="s">
        <v>46</v>
      </c>
      <c r="W84" s="0" t="s">
        <v>46</v>
      </c>
      <c r="X84" s="0" t="s">
        <v>307</v>
      </c>
      <c r="Y84" s="0" t="s">
        <v>48</v>
      </c>
      <c r="Z84" s="0" t="s">
        <v>46</v>
      </c>
      <c r="AA84" s="0" t="s">
        <v>46</v>
      </c>
      <c r="AB84" s="0" t="s">
        <v>46</v>
      </c>
      <c r="AC84" s="0" t="s">
        <v>50</v>
      </c>
      <c r="AD84" s="0" t="s">
        <v>679</v>
      </c>
      <c r="AE84" s="0" t="s">
        <v>680</v>
      </c>
      <c r="AF84" s="0" t="s">
        <v>681</v>
      </c>
      <c r="AG84" s="0" t="s">
        <v>682</v>
      </c>
      <c r="AH84" s="0" t="s">
        <v>683</v>
      </c>
      <c r="AI84" s="0" t="s">
        <v>46</v>
      </c>
      <c r="AJ84" s="0" t="s">
        <v>46</v>
      </c>
      <c r="AK84" s="0" t="s">
        <v>46</v>
      </c>
      <c r="AL84" s="0" t="s">
        <v>46</v>
      </c>
    </row>
    <row r="85" customFormat="false" ht="15" hidden="false" customHeight="false" outlineLevel="0" collapsed="false">
      <c r="B85" s="0" t="str">
        <f aca="false">HYPERLINK("https://genome.ucsc.edu/cgi-bin/hgTracks?db=hg19&amp;position=chr1%3A220284112%2D220284112", "chr1:220284112")</f>
        <v>chr1:220284112</v>
      </c>
      <c r="C85" s="0" t="s">
        <v>119</v>
      </c>
      <c r="D85" s="0" t="n">
        <v>220284112</v>
      </c>
      <c r="E85" s="0" t="n">
        <v>220284112</v>
      </c>
      <c r="F85" s="0" t="s">
        <v>185</v>
      </c>
      <c r="G85" s="0" t="s">
        <v>82</v>
      </c>
      <c r="H85" s="0" t="s">
        <v>684</v>
      </c>
      <c r="I85" s="0" t="s">
        <v>287</v>
      </c>
      <c r="J85" s="0" t="s">
        <v>685</v>
      </c>
      <c r="K85" s="0" t="s">
        <v>46</v>
      </c>
      <c r="L85" s="0" t="str">
        <f aca="false">HYPERLINK("https://www.ncbi.nlm.nih.gov/snp/rs769552616", "rs769552616")</f>
        <v>rs769552616</v>
      </c>
      <c r="M85" s="0" t="str">
        <f aca="false">HYPERLINK("https://www.genecards.org/Search/Keyword?queryString=%5Baliases%5D(%20IARS2%20)%20OR%20%5Baliases%5D(%20RNU5F-1%20)&amp;keywords=IARS2,RNU5F-1", "IARS2;RNU5F-1")</f>
        <v>IARS2;RNU5F-1</v>
      </c>
      <c r="N85" s="0" t="s">
        <v>306</v>
      </c>
      <c r="O85" s="0" t="s">
        <v>46</v>
      </c>
      <c r="P85" s="0" t="s">
        <v>46</v>
      </c>
      <c r="Q85" s="0" t="n">
        <v>0.0073</v>
      </c>
      <c r="R85" s="0" t="n">
        <v>0.0034</v>
      </c>
      <c r="S85" s="0" t="n">
        <v>0.0022</v>
      </c>
      <c r="T85" s="0" t="n">
        <v>-1</v>
      </c>
      <c r="U85" s="0" t="n">
        <v>0.0068</v>
      </c>
      <c r="V85" s="0" t="s">
        <v>46</v>
      </c>
      <c r="W85" s="0" t="s">
        <v>46</v>
      </c>
      <c r="X85" s="0" t="s">
        <v>46</v>
      </c>
      <c r="Y85" s="0" t="s">
        <v>46</v>
      </c>
      <c r="Z85" s="0" t="s">
        <v>46</v>
      </c>
      <c r="AA85" s="0" t="s">
        <v>46</v>
      </c>
      <c r="AB85" s="0" t="s">
        <v>46</v>
      </c>
      <c r="AC85" s="0" t="s">
        <v>50</v>
      </c>
      <c r="AD85" s="0" t="s">
        <v>628</v>
      </c>
      <c r="AE85" s="0" t="s">
        <v>686</v>
      </c>
      <c r="AF85" s="0" t="s">
        <v>687</v>
      </c>
      <c r="AG85" s="0" t="s">
        <v>46</v>
      </c>
      <c r="AH85" s="0" t="s">
        <v>688</v>
      </c>
      <c r="AI85" s="0" t="s">
        <v>46</v>
      </c>
      <c r="AJ85" s="0" t="s">
        <v>46</v>
      </c>
      <c r="AK85" s="0" t="s">
        <v>46</v>
      </c>
      <c r="AL85" s="0" t="s">
        <v>46</v>
      </c>
    </row>
    <row r="86" customFormat="false" ht="15" hidden="false" customHeight="false" outlineLevel="0" collapsed="false">
      <c r="B86" s="0" t="str">
        <f aca="false">HYPERLINK("https://genome.ucsc.edu/cgi-bin/hgTracks?db=hg19&amp;position=chr1%3A223396452%2D223396452", "chr1:223396452")</f>
        <v>chr1:223396452</v>
      </c>
      <c r="C86" s="0" t="s">
        <v>119</v>
      </c>
      <c r="D86" s="0" t="n">
        <v>223396452</v>
      </c>
      <c r="E86" s="0" t="n">
        <v>223396452</v>
      </c>
      <c r="F86" s="0" t="s">
        <v>57</v>
      </c>
      <c r="G86" s="0" t="s">
        <v>82</v>
      </c>
      <c r="H86" s="0" t="s">
        <v>689</v>
      </c>
      <c r="I86" s="0" t="s">
        <v>690</v>
      </c>
      <c r="J86" s="0" t="s">
        <v>691</v>
      </c>
      <c r="K86" s="0" t="s">
        <v>46</v>
      </c>
      <c r="L86" s="0" t="str">
        <f aca="false">HYPERLINK("https://www.ncbi.nlm.nih.gov/snp/rs932946764", "rs932946764")</f>
        <v>rs932946764</v>
      </c>
      <c r="M86" s="0" t="str">
        <f aca="false">HYPERLINK("https://www.genecards.org/Search/Keyword?queryString=%5Baliases%5D(%20SUSD4%20)&amp;keywords=SUSD4", "SUSD4")</f>
        <v>SUSD4</v>
      </c>
      <c r="N86" s="0" t="s">
        <v>45</v>
      </c>
      <c r="O86" s="0" t="s">
        <v>46</v>
      </c>
      <c r="P86" s="0" t="s">
        <v>46</v>
      </c>
      <c r="Q86" s="0" t="n">
        <v>0.0009</v>
      </c>
      <c r="R86" s="0" t="n">
        <v>0.0003</v>
      </c>
      <c r="S86" s="0" t="n">
        <v>0.0002</v>
      </c>
      <c r="T86" s="0" t="n">
        <v>-1</v>
      </c>
      <c r="U86" s="0" t="n">
        <v>0.0004</v>
      </c>
      <c r="V86" s="0" t="s">
        <v>46</v>
      </c>
      <c r="W86" s="0" t="s">
        <v>46</v>
      </c>
      <c r="X86" s="0" t="s">
        <v>47</v>
      </c>
      <c r="Y86" s="0" t="s">
        <v>48</v>
      </c>
      <c r="Z86" s="0" t="s">
        <v>46</v>
      </c>
      <c r="AA86" s="0" t="s">
        <v>46</v>
      </c>
      <c r="AB86" s="0" t="s">
        <v>46</v>
      </c>
      <c r="AC86" s="0" t="s">
        <v>50</v>
      </c>
      <c r="AD86" s="0" t="s">
        <v>51</v>
      </c>
      <c r="AE86" s="0" t="s">
        <v>692</v>
      </c>
      <c r="AF86" s="0" t="s">
        <v>693</v>
      </c>
      <c r="AG86" s="0" t="s">
        <v>694</v>
      </c>
      <c r="AH86" s="0" t="s">
        <v>46</v>
      </c>
      <c r="AI86" s="0" t="s">
        <v>46</v>
      </c>
      <c r="AJ86" s="0" t="s">
        <v>46</v>
      </c>
      <c r="AK86" s="0" t="s">
        <v>46</v>
      </c>
      <c r="AL86" s="0" t="s">
        <v>46</v>
      </c>
    </row>
    <row r="87" customFormat="false" ht="15" hidden="false" customHeight="false" outlineLevel="0" collapsed="false">
      <c r="B87" s="0" t="str">
        <f aca="false">HYPERLINK("https://genome.ucsc.edu/cgi-bin/hgTracks?db=hg19&amp;position=chr1%3A225270466%2D225270466", "chr1:225270466")</f>
        <v>chr1:225270466</v>
      </c>
      <c r="C87" s="0" t="s">
        <v>119</v>
      </c>
      <c r="D87" s="0" t="n">
        <v>225270466</v>
      </c>
      <c r="E87" s="0" t="n">
        <v>225270466</v>
      </c>
      <c r="F87" s="0" t="s">
        <v>57</v>
      </c>
      <c r="G87" s="0" t="s">
        <v>39</v>
      </c>
      <c r="H87" s="0" t="s">
        <v>695</v>
      </c>
      <c r="I87" s="0" t="s">
        <v>696</v>
      </c>
      <c r="J87" s="0" t="s">
        <v>697</v>
      </c>
      <c r="K87" s="0" t="s">
        <v>46</v>
      </c>
      <c r="L87" s="0" t="str">
        <f aca="false">HYPERLINK("https://www.ncbi.nlm.nih.gov/snp/rs79073934", "rs79073934")</f>
        <v>rs79073934</v>
      </c>
      <c r="M87" s="0" t="str">
        <f aca="false">HYPERLINK("https://www.genecards.org/Search/Keyword?queryString=%5Baliases%5D(%20DNAH14%20)&amp;keywords=DNAH14", "DNAH14")</f>
        <v>DNAH14</v>
      </c>
      <c r="N87" s="0" t="s">
        <v>45</v>
      </c>
      <c r="O87" s="0" t="s">
        <v>46</v>
      </c>
      <c r="P87" s="0" t="s">
        <v>46</v>
      </c>
      <c r="Q87" s="0" t="n">
        <v>0.0169</v>
      </c>
      <c r="R87" s="0" t="n">
        <v>0.018</v>
      </c>
      <c r="S87" s="0" t="n">
        <v>0.0172</v>
      </c>
      <c r="T87" s="0" t="n">
        <v>-1</v>
      </c>
      <c r="U87" s="0" t="n">
        <v>0.0203</v>
      </c>
      <c r="V87" s="0" t="s">
        <v>46</v>
      </c>
      <c r="W87" s="0" t="s">
        <v>46</v>
      </c>
      <c r="X87" s="0" t="s">
        <v>354</v>
      </c>
      <c r="Y87" s="0" t="s">
        <v>48</v>
      </c>
      <c r="Z87" s="0" t="s">
        <v>46</v>
      </c>
      <c r="AA87" s="0" t="s">
        <v>46</v>
      </c>
      <c r="AB87" s="0" t="s">
        <v>46</v>
      </c>
      <c r="AC87" s="0" t="s">
        <v>219</v>
      </c>
      <c r="AD87" s="0" t="s">
        <v>51</v>
      </c>
      <c r="AE87" s="0" t="s">
        <v>698</v>
      </c>
      <c r="AF87" s="0" t="s">
        <v>699</v>
      </c>
      <c r="AG87" s="0" t="s">
        <v>700</v>
      </c>
      <c r="AH87" s="0" t="s">
        <v>46</v>
      </c>
      <c r="AI87" s="0" t="s">
        <v>46</v>
      </c>
      <c r="AJ87" s="0" t="s">
        <v>46</v>
      </c>
      <c r="AK87" s="0" t="s">
        <v>46</v>
      </c>
      <c r="AL87" s="0" t="s">
        <v>46</v>
      </c>
    </row>
    <row r="88" customFormat="false" ht="15" hidden="false" customHeight="false" outlineLevel="0" collapsed="false">
      <c r="B88" s="0" t="str">
        <f aca="false">HYPERLINK("https://genome.ucsc.edu/cgi-bin/hgTracks?db=hg19&amp;position=chr1%3A240333731%2D240333731", "chr1:240333731")</f>
        <v>chr1:240333731</v>
      </c>
      <c r="C88" s="0" t="s">
        <v>119</v>
      </c>
      <c r="D88" s="0" t="n">
        <v>240333731</v>
      </c>
      <c r="E88" s="0" t="n">
        <v>240333731</v>
      </c>
      <c r="F88" s="0" t="s">
        <v>57</v>
      </c>
      <c r="G88" s="0" t="s">
        <v>82</v>
      </c>
      <c r="H88" s="0" t="s">
        <v>701</v>
      </c>
      <c r="I88" s="0" t="s">
        <v>702</v>
      </c>
      <c r="J88" s="0" t="s">
        <v>703</v>
      </c>
      <c r="K88" s="0" t="s">
        <v>46</v>
      </c>
      <c r="L88" s="0" t="str">
        <f aca="false">HYPERLINK("https://www.ncbi.nlm.nih.gov/snp/rs562407317", "rs562407317")</f>
        <v>rs562407317</v>
      </c>
      <c r="M88" s="0" t="str">
        <f aca="false">HYPERLINK("https://www.genecards.org/Search/Keyword?queryString=%5Baliases%5D(%20FMN2%20)&amp;keywords=FMN2", "FMN2")</f>
        <v>FMN2</v>
      </c>
      <c r="N88" s="0" t="s">
        <v>704</v>
      </c>
      <c r="O88" s="0" t="s">
        <v>46</v>
      </c>
      <c r="P88" s="0" t="s">
        <v>46</v>
      </c>
      <c r="Q88" s="0" t="n">
        <v>0.0008</v>
      </c>
      <c r="R88" s="0" t="n">
        <v>0.0004</v>
      </c>
      <c r="S88" s="0" t="n">
        <v>0.0006</v>
      </c>
      <c r="T88" s="0" t="n">
        <v>-1</v>
      </c>
      <c r="U88" s="0" t="n">
        <v>0.0004</v>
      </c>
      <c r="V88" s="0" t="s">
        <v>46</v>
      </c>
      <c r="W88" s="0" t="s">
        <v>46</v>
      </c>
      <c r="X88" s="0" t="s">
        <v>46</v>
      </c>
      <c r="Y88" s="0" t="s">
        <v>46</v>
      </c>
      <c r="Z88" s="0" t="s">
        <v>46</v>
      </c>
      <c r="AA88" s="0" t="s">
        <v>46</v>
      </c>
      <c r="AB88" s="0" t="s">
        <v>46</v>
      </c>
      <c r="AC88" s="0" t="s">
        <v>50</v>
      </c>
      <c r="AD88" s="0" t="s">
        <v>147</v>
      </c>
      <c r="AE88" s="0" t="s">
        <v>705</v>
      </c>
      <c r="AF88" s="0" t="s">
        <v>706</v>
      </c>
      <c r="AG88" s="0" t="s">
        <v>707</v>
      </c>
      <c r="AH88" s="0" t="s">
        <v>708</v>
      </c>
      <c r="AI88" s="0" t="s">
        <v>46</v>
      </c>
      <c r="AJ88" s="0" t="s">
        <v>46</v>
      </c>
      <c r="AK88" s="0" t="s">
        <v>46</v>
      </c>
      <c r="AL88" s="0" t="s">
        <v>46</v>
      </c>
    </row>
    <row r="89" customFormat="false" ht="15" hidden="false" customHeight="false" outlineLevel="0" collapsed="false">
      <c r="B89" s="0" t="str">
        <f aca="false">HYPERLINK("https://genome.ucsc.edu/cgi-bin/hgTracks?db=hg19&amp;position=chr1%3A240334099%2D240334099", "chr1:240334099")</f>
        <v>chr1:240334099</v>
      </c>
      <c r="C89" s="0" t="s">
        <v>119</v>
      </c>
      <c r="D89" s="0" t="n">
        <v>240334099</v>
      </c>
      <c r="E89" s="0" t="n">
        <v>240334099</v>
      </c>
      <c r="F89" s="0" t="s">
        <v>40</v>
      </c>
      <c r="G89" s="0" t="s">
        <v>82</v>
      </c>
      <c r="H89" s="0" t="s">
        <v>398</v>
      </c>
      <c r="I89" s="0" t="s">
        <v>709</v>
      </c>
      <c r="J89" s="0" t="s">
        <v>710</v>
      </c>
      <c r="K89" s="0" t="s">
        <v>46</v>
      </c>
      <c r="L89" s="0" t="str">
        <f aca="false">HYPERLINK("https://www.ncbi.nlm.nih.gov/snp/rs540498306", "rs540498306")</f>
        <v>rs540498306</v>
      </c>
      <c r="M89" s="0" t="str">
        <f aca="false">HYPERLINK("https://www.genecards.org/Search/Keyword?queryString=%5Baliases%5D(%20FMN2%20)&amp;keywords=FMN2", "FMN2")</f>
        <v>FMN2</v>
      </c>
      <c r="N89" s="0" t="s">
        <v>704</v>
      </c>
      <c r="O89" s="0" t="s">
        <v>46</v>
      </c>
      <c r="P89" s="0" t="s">
        <v>46</v>
      </c>
      <c r="Q89" s="0" t="n">
        <v>0.0034</v>
      </c>
      <c r="R89" s="0" t="n">
        <v>0.0032</v>
      </c>
      <c r="S89" s="0" t="n">
        <v>0.0029</v>
      </c>
      <c r="T89" s="0" t="n">
        <v>-1</v>
      </c>
      <c r="U89" s="0" t="n">
        <v>0.0041</v>
      </c>
      <c r="V89" s="0" t="s">
        <v>46</v>
      </c>
      <c r="W89" s="0" t="s">
        <v>46</v>
      </c>
      <c r="X89" s="0" t="s">
        <v>46</v>
      </c>
      <c r="Y89" s="0" t="s">
        <v>46</v>
      </c>
      <c r="Z89" s="0" t="s">
        <v>46</v>
      </c>
      <c r="AA89" s="0" t="s">
        <v>46</v>
      </c>
      <c r="AB89" s="0" t="s">
        <v>46</v>
      </c>
      <c r="AC89" s="0" t="s">
        <v>50</v>
      </c>
      <c r="AD89" s="0" t="s">
        <v>147</v>
      </c>
      <c r="AE89" s="0" t="s">
        <v>705</v>
      </c>
      <c r="AF89" s="0" t="s">
        <v>706</v>
      </c>
      <c r="AG89" s="0" t="s">
        <v>707</v>
      </c>
      <c r="AH89" s="0" t="s">
        <v>708</v>
      </c>
      <c r="AI89" s="0" t="s">
        <v>46</v>
      </c>
      <c r="AJ89" s="0" t="s">
        <v>46</v>
      </c>
      <c r="AK89" s="0" t="s">
        <v>46</v>
      </c>
      <c r="AL89" s="0" t="s">
        <v>46</v>
      </c>
    </row>
    <row r="90" customFormat="false" ht="15" hidden="false" customHeight="false" outlineLevel="0" collapsed="false">
      <c r="B90" s="0" t="str">
        <f aca="false">HYPERLINK("https://genome.ucsc.edu/cgi-bin/hgTracks?db=hg19&amp;position=chr1%3A248790169%2D248790169", "chr1:248790169")</f>
        <v>chr1:248790169</v>
      </c>
      <c r="C90" s="0" t="s">
        <v>119</v>
      </c>
      <c r="D90" s="0" t="n">
        <v>248790169</v>
      </c>
      <c r="E90" s="0" t="n">
        <v>248790169</v>
      </c>
      <c r="F90" s="0" t="s">
        <v>185</v>
      </c>
      <c r="G90" s="0" t="s">
        <v>711</v>
      </c>
      <c r="H90" s="0" t="s">
        <v>712</v>
      </c>
      <c r="I90" s="0" t="s">
        <v>713</v>
      </c>
      <c r="J90" s="0" t="s">
        <v>714</v>
      </c>
      <c r="K90" s="0" t="s">
        <v>46</v>
      </c>
      <c r="L90" s="0" t="str">
        <f aca="false">HYPERLINK("https://www.ncbi.nlm.nih.gov/snp/rs767824710", "rs767824710")</f>
        <v>rs767824710</v>
      </c>
      <c r="M90" s="0" t="str">
        <f aca="false">HYPERLINK("https://www.genecards.org/Search/Keyword?queryString=%5Baliases%5D(%20OR2T11%20)&amp;keywords=OR2T11", "OR2T11")</f>
        <v>OR2T11</v>
      </c>
      <c r="N90" s="0" t="s">
        <v>62</v>
      </c>
      <c r="O90" s="0" t="s">
        <v>273</v>
      </c>
      <c r="P90" s="0" t="s">
        <v>715</v>
      </c>
      <c r="Q90" s="0" t="n">
        <v>0.0153</v>
      </c>
      <c r="R90" s="0" t="n">
        <v>0.0087</v>
      </c>
      <c r="S90" s="0" t="n">
        <v>0.0069</v>
      </c>
      <c r="T90" s="0" t="n">
        <v>-1</v>
      </c>
      <c r="U90" s="0" t="n">
        <v>0.0143</v>
      </c>
      <c r="V90" s="0" t="s">
        <v>46</v>
      </c>
      <c r="W90" s="0" t="s">
        <v>46</v>
      </c>
      <c r="X90" s="0" t="s">
        <v>46</v>
      </c>
      <c r="Y90" s="0" t="s">
        <v>46</v>
      </c>
      <c r="Z90" s="0" t="s">
        <v>46</v>
      </c>
      <c r="AA90" s="0" t="s">
        <v>46</v>
      </c>
      <c r="AB90" s="0" t="s">
        <v>46</v>
      </c>
      <c r="AC90" s="0" t="s">
        <v>50</v>
      </c>
      <c r="AD90" s="0" t="s">
        <v>51</v>
      </c>
      <c r="AE90" s="0" t="s">
        <v>716</v>
      </c>
      <c r="AF90" s="0" t="s">
        <v>717</v>
      </c>
      <c r="AG90" s="0" t="s">
        <v>718</v>
      </c>
      <c r="AH90" s="0" t="s">
        <v>46</v>
      </c>
      <c r="AI90" s="0" t="s">
        <v>46</v>
      </c>
      <c r="AJ90" s="0" t="s">
        <v>46</v>
      </c>
      <c r="AK90" s="0" t="s">
        <v>46</v>
      </c>
      <c r="AL90" s="0" t="s">
        <v>46</v>
      </c>
    </row>
    <row r="91" customFormat="false" ht="15" hidden="false" customHeight="false" outlineLevel="0" collapsed="false">
      <c r="B91" s="0" t="str">
        <f aca="false">HYPERLINK("https://genome.ucsc.edu/cgi-bin/hgTracks?db=hg19&amp;position=chr10%3A1043454%2D1043454", "chr10:1043454")</f>
        <v>chr10:1043454</v>
      </c>
      <c r="C91" s="0" t="s">
        <v>294</v>
      </c>
      <c r="D91" s="0" t="n">
        <v>1043454</v>
      </c>
      <c r="E91" s="0" t="n">
        <v>1043454</v>
      </c>
      <c r="F91" s="0" t="s">
        <v>39</v>
      </c>
      <c r="G91" s="0" t="s">
        <v>57</v>
      </c>
      <c r="H91" s="0" t="s">
        <v>719</v>
      </c>
      <c r="I91" s="0" t="s">
        <v>187</v>
      </c>
      <c r="J91" s="0" t="s">
        <v>720</v>
      </c>
      <c r="K91" s="0" t="s">
        <v>46</v>
      </c>
      <c r="L91" s="0" t="s">
        <v>46</v>
      </c>
      <c r="M91" s="0" t="str">
        <f aca="false">HYPERLINK("https://www.genecards.org/Search/Keyword?queryString=%5Baliases%5D(%20GTPBP4%20)&amp;keywords=GTPBP4", "GTPBP4")</f>
        <v>GTPBP4</v>
      </c>
      <c r="N91" s="0" t="s">
        <v>45</v>
      </c>
      <c r="O91" s="0" t="s">
        <v>46</v>
      </c>
      <c r="P91" s="0" t="s">
        <v>46</v>
      </c>
      <c r="Q91" s="0" t="n">
        <v>0.0001</v>
      </c>
      <c r="R91" s="0" t="n">
        <v>9.019E-005</v>
      </c>
      <c r="S91" s="0" t="n">
        <v>7.342E-005</v>
      </c>
      <c r="T91" s="0" t="n">
        <v>-1</v>
      </c>
      <c r="U91" s="0" t="n">
        <v>-1</v>
      </c>
      <c r="V91" s="0" t="s">
        <v>46</v>
      </c>
      <c r="W91" s="0" t="s">
        <v>46</v>
      </c>
      <c r="X91" s="0" t="s">
        <v>354</v>
      </c>
      <c r="Y91" s="0" t="s">
        <v>48</v>
      </c>
      <c r="Z91" s="0" t="s">
        <v>46</v>
      </c>
      <c r="AA91" s="0" t="s">
        <v>46</v>
      </c>
      <c r="AB91" s="0" t="s">
        <v>46</v>
      </c>
      <c r="AC91" s="0" t="s">
        <v>50</v>
      </c>
      <c r="AD91" s="0" t="s">
        <v>51</v>
      </c>
      <c r="AE91" s="0" t="s">
        <v>721</v>
      </c>
      <c r="AF91" s="0" t="s">
        <v>722</v>
      </c>
      <c r="AG91" s="0" t="s">
        <v>723</v>
      </c>
      <c r="AH91" s="0" t="s">
        <v>46</v>
      </c>
      <c r="AI91" s="0" t="s">
        <v>46</v>
      </c>
      <c r="AJ91" s="0" t="s">
        <v>46</v>
      </c>
      <c r="AK91" s="0" t="s">
        <v>46</v>
      </c>
      <c r="AL91" s="0" t="s">
        <v>46</v>
      </c>
    </row>
    <row r="92" customFormat="false" ht="15" hidden="false" customHeight="false" outlineLevel="0" collapsed="false">
      <c r="B92" s="0" t="str">
        <f aca="false">HYPERLINK("https://genome.ucsc.edu/cgi-bin/hgTracks?db=hg19&amp;position=chr10%3A18825173%2D18825174", "chr10:18825173")</f>
        <v>chr10:18825173</v>
      </c>
      <c r="C92" s="0" t="s">
        <v>294</v>
      </c>
      <c r="D92" s="0" t="n">
        <v>18825173</v>
      </c>
      <c r="E92" s="0" t="n">
        <v>18825174</v>
      </c>
      <c r="F92" s="0" t="s">
        <v>711</v>
      </c>
      <c r="G92" s="0" t="s">
        <v>185</v>
      </c>
      <c r="H92" s="0" t="s">
        <v>724</v>
      </c>
      <c r="I92" s="0" t="s">
        <v>725</v>
      </c>
      <c r="J92" s="0" t="s">
        <v>726</v>
      </c>
      <c r="K92" s="0" t="s">
        <v>46</v>
      </c>
      <c r="L92" s="0" t="s">
        <v>46</v>
      </c>
      <c r="M92" s="0" t="str">
        <f aca="false">HYPERLINK("https://www.genecards.org/Search/Keyword?queryString=%5Baliases%5D(%20CACNB2%20)%20OR%20%5Baliases%5D(%20U80764%20)&amp;keywords=CACNB2,U80764", "CACNB2;U80764")</f>
        <v>CACNB2;U80764</v>
      </c>
      <c r="N92" s="0" t="s">
        <v>306</v>
      </c>
      <c r="O92" s="0" t="s">
        <v>46</v>
      </c>
      <c r="P92" s="0" t="s">
        <v>46</v>
      </c>
      <c r="Q92" s="0" t="n">
        <v>-1</v>
      </c>
      <c r="R92" s="0" t="n">
        <v>-1</v>
      </c>
      <c r="S92" s="0" t="n">
        <v>-1</v>
      </c>
      <c r="T92" s="0" t="n">
        <v>-1</v>
      </c>
      <c r="U92" s="0" t="n">
        <v>-1</v>
      </c>
      <c r="V92" s="0" t="s">
        <v>46</v>
      </c>
      <c r="W92" s="0" t="s">
        <v>46</v>
      </c>
      <c r="X92" s="0" t="s">
        <v>46</v>
      </c>
      <c r="Y92" s="0" t="s">
        <v>46</v>
      </c>
      <c r="Z92" s="0" t="s">
        <v>46</v>
      </c>
      <c r="AA92" s="0" t="s">
        <v>46</v>
      </c>
      <c r="AB92" s="0" t="s">
        <v>46</v>
      </c>
      <c r="AC92" s="0" t="s">
        <v>50</v>
      </c>
      <c r="AD92" s="0" t="s">
        <v>576</v>
      </c>
      <c r="AE92" s="0" t="s">
        <v>727</v>
      </c>
      <c r="AF92" s="0" t="s">
        <v>728</v>
      </c>
      <c r="AG92" s="0" t="s">
        <v>729</v>
      </c>
      <c r="AH92" s="0" t="s">
        <v>730</v>
      </c>
      <c r="AI92" s="0" t="s">
        <v>46</v>
      </c>
      <c r="AJ92" s="0" t="s">
        <v>46</v>
      </c>
      <c r="AK92" s="0" t="s">
        <v>46</v>
      </c>
      <c r="AL92" s="0" t="s">
        <v>46</v>
      </c>
    </row>
    <row r="93" customFormat="false" ht="15" hidden="false" customHeight="false" outlineLevel="0" collapsed="false">
      <c r="B93" s="0" t="str">
        <f aca="false">HYPERLINK("https://genome.ucsc.edu/cgi-bin/hgTracks?db=hg19&amp;position=chr10%3A18825197%2D18825204", "chr10:18825197")</f>
        <v>chr10:18825197</v>
      </c>
      <c r="C93" s="0" t="s">
        <v>294</v>
      </c>
      <c r="D93" s="0" t="n">
        <v>18825197</v>
      </c>
      <c r="E93" s="0" t="n">
        <v>18825204</v>
      </c>
      <c r="F93" s="0" t="s">
        <v>731</v>
      </c>
      <c r="G93" s="0" t="s">
        <v>185</v>
      </c>
      <c r="H93" s="0" t="s">
        <v>732</v>
      </c>
      <c r="I93" s="0" t="s">
        <v>733</v>
      </c>
      <c r="J93" s="0" t="s">
        <v>734</v>
      </c>
      <c r="K93" s="0" t="s">
        <v>46</v>
      </c>
      <c r="L93" s="0" t="str">
        <f aca="false">HYPERLINK("https://www.ncbi.nlm.nih.gov/snp/rs377748364", "rs377748364")</f>
        <v>rs377748364</v>
      </c>
      <c r="M93" s="0" t="str">
        <f aca="false">HYPERLINK("https://www.genecards.org/Search/Keyword?queryString=%5Baliases%5D(%20CACNB2%20)%20OR%20%5Baliases%5D(%20U80764%20)&amp;keywords=CACNB2,U80764", "CACNB2;U80764")</f>
        <v>CACNB2;U80764</v>
      </c>
      <c r="N93" s="0" t="s">
        <v>306</v>
      </c>
      <c r="O93" s="0" t="s">
        <v>46</v>
      </c>
      <c r="P93" s="0" t="s">
        <v>46</v>
      </c>
      <c r="Q93" s="0" t="n">
        <v>0.0254</v>
      </c>
      <c r="R93" s="0" t="n">
        <v>0.0248</v>
      </c>
      <c r="S93" s="0" t="n">
        <v>0.0191</v>
      </c>
      <c r="T93" s="0" t="n">
        <v>-1</v>
      </c>
      <c r="U93" s="0" t="n">
        <v>0.0185</v>
      </c>
      <c r="V93" s="0" t="s">
        <v>46</v>
      </c>
      <c r="W93" s="0" t="s">
        <v>46</v>
      </c>
      <c r="X93" s="0" t="s">
        <v>46</v>
      </c>
      <c r="Y93" s="0" t="s">
        <v>46</v>
      </c>
      <c r="Z93" s="0" t="s">
        <v>46</v>
      </c>
      <c r="AA93" s="0" t="s">
        <v>46</v>
      </c>
      <c r="AB93" s="0" t="s">
        <v>46</v>
      </c>
      <c r="AC93" s="0" t="s">
        <v>50</v>
      </c>
      <c r="AD93" s="0" t="s">
        <v>576</v>
      </c>
      <c r="AE93" s="0" t="s">
        <v>727</v>
      </c>
      <c r="AF93" s="0" t="s">
        <v>728</v>
      </c>
      <c r="AG93" s="0" t="s">
        <v>729</v>
      </c>
      <c r="AH93" s="0" t="s">
        <v>730</v>
      </c>
      <c r="AI93" s="0" t="s">
        <v>46</v>
      </c>
      <c r="AJ93" s="0" t="s">
        <v>46</v>
      </c>
      <c r="AK93" s="0" t="s">
        <v>46</v>
      </c>
      <c r="AL93" s="0" t="s">
        <v>46</v>
      </c>
    </row>
    <row r="94" customFormat="false" ht="15" hidden="false" customHeight="false" outlineLevel="0" collapsed="false">
      <c r="B94" s="0" t="str">
        <f aca="false">HYPERLINK("https://genome.ucsc.edu/cgi-bin/hgTracks?db=hg19&amp;position=chr10%3A31650028%2D31650028", "chr10:31650028")</f>
        <v>chr10:31650028</v>
      </c>
      <c r="C94" s="0" t="s">
        <v>294</v>
      </c>
      <c r="D94" s="0" t="n">
        <v>31650028</v>
      </c>
      <c r="E94" s="0" t="n">
        <v>31650028</v>
      </c>
      <c r="F94" s="0" t="s">
        <v>40</v>
      </c>
      <c r="G94" s="0" t="s">
        <v>57</v>
      </c>
      <c r="H94" s="0" t="s">
        <v>735</v>
      </c>
      <c r="I94" s="0" t="s">
        <v>736</v>
      </c>
      <c r="J94" s="0" t="s">
        <v>737</v>
      </c>
      <c r="K94" s="0" t="s">
        <v>46</v>
      </c>
      <c r="L94" s="0" t="str">
        <f aca="false">HYPERLINK("https://www.ncbi.nlm.nih.gov/snp/rs61846169", "rs61846169")</f>
        <v>rs61846169</v>
      </c>
      <c r="M94" s="0" t="str">
        <f aca="false">HYPERLINK("https://www.genecards.org/Search/Keyword?queryString=%5Baliases%5D(%20ZEB1%20)&amp;keywords=ZEB1", "ZEB1")</f>
        <v>ZEB1</v>
      </c>
      <c r="N94" s="0" t="s">
        <v>704</v>
      </c>
      <c r="O94" s="0" t="s">
        <v>46</v>
      </c>
      <c r="P94" s="0" t="s">
        <v>46</v>
      </c>
      <c r="Q94" s="0" t="n">
        <v>0.017</v>
      </c>
      <c r="R94" s="0" t="n">
        <v>0.0014</v>
      </c>
      <c r="S94" s="0" t="n">
        <v>0.0012</v>
      </c>
      <c r="T94" s="0" t="n">
        <v>-1</v>
      </c>
      <c r="U94" s="0" t="n">
        <v>0.0016</v>
      </c>
      <c r="V94" s="0" t="s">
        <v>46</v>
      </c>
      <c r="W94" s="0" t="s">
        <v>46</v>
      </c>
      <c r="X94" s="0" t="s">
        <v>46</v>
      </c>
      <c r="Y94" s="0" t="s">
        <v>46</v>
      </c>
      <c r="Z94" s="0" t="s">
        <v>46</v>
      </c>
      <c r="AA94" s="0" t="s">
        <v>46</v>
      </c>
      <c r="AB94" s="0" t="s">
        <v>46</v>
      </c>
      <c r="AC94" s="0" t="s">
        <v>50</v>
      </c>
      <c r="AD94" s="0" t="s">
        <v>385</v>
      </c>
      <c r="AE94" s="0" t="s">
        <v>738</v>
      </c>
      <c r="AF94" s="0" t="s">
        <v>739</v>
      </c>
      <c r="AG94" s="0" t="s">
        <v>740</v>
      </c>
      <c r="AH94" s="0" t="s">
        <v>741</v>
      </c>
      <c r="AI94" s="0" t="s">
        <v>46</v>
      </c>
      <c r="AJ94" s="0" t="s">
        <v>46</v>
      </c>
      <c r="AK94" s="0" t="s">
        <v>46</v>
      </c>
      <c r="AL94" s="0" t="s">
        <v>46</v>
      </c>
    </row>
    <row r="95" customFormat="false" ht="15" hidden="false" customHeight="false" outlineLevel="0" collapsed="false">
      <c r="B95" s="0" t="str">
        <f aca="false">HYPERLINK("https://genome.ucsc.edu/cgi-bin/hgTracks?db=hg19&amp;position=chr10%3A31650036%2D31650036", "chr10:31650036")</f>
        <v>chr10:31650036</v>
      </c>
      <c r="C95" s="0" t="s">
        <v>294</v>
      </c>
      <c r="D95" s="0" t="n">
        <v>31650036</v>
      </c>
      <c r="E95" s="0" t="n">
        <v>31650036</v>
      </c>
      <c r="F95" s="0" t="s">
        <v>82</v>
      </c>
      <c r="G95" s="0" t="s">
        <v>40</v>
      </c>
      <c r="H95" s="0" t="s">
        <v>742</v>
      </c>
      <c r="I95" s="0" t="s">
        <v>743</v>
      </c>
      <c r="J95" s="0" t="s">
        <v>744</v>
      </c>
      <c r="K95" s="0" t="s">
        <v>46</v>
      </c>
      <c r="L95" s="0" t="str">
        <f aca="false">HYPERLINK("https://www.ncbi.nlm.nih.gov/snp/rs61846170", "rs61846170")</f>
        <v>rs61846170</v>
      </c>
      <c r="M95" s="0" t="str">
        <f aca="false">HYPERLINK("https://www.genecards.org/Search/Keyword?queryString=%5Baliases%5D(%20ZEB1%20)&amp;keywords=ZEB1", "ZEB1")</f>
        <v>ZEB1</v>
      </c>
      <c r="N95" s="0" t="s">
        <v>704</v>
      </c>
      <c r="O95" s="0" t="s">
        <v>46</v>
      </c>
      <c r="P95" s="0" t="s">
        <v>46</v>
      </c>
      <c r="Q95" s="0" t="n">
        <v>0.0168</v>
      </c>
      <c r="R95" s="0" t="n">
        <v>0.0014</v>
      </c>
      <c r="S95" s="0" t="n">
        <v>0.002</v>
      </c>
      <c r="T95" s="0" t="n">
        <v>-1</v>
      </c>
      <c r="U95" s="0" t="n">
        <v>0.005</v>
      </c>
      <c r="V95" s="0" t="s">
        <v>46</v>
      </c>
      <c r="W95" s="0" t="s">
        <v>46</v>
      </c>
      <c r="X95" s="0" t="s">
        <v>46</v>
      </c>
      <c r="Y95" s="0" t="s">
        <v>46</v>
      </c>
      <c r="Z95" s="0" t="s">
        <v>46</v>
      </c>
      <c r="AA95" s="0" t="s">
        <v>46</v>
      </c>
      <c r="AB95" s="0" t="s">
        <v>46</v>
      </c>
      <c r="AC95" s="0" t="s">
        <v>50</v>
      </c>
      <c r="AD95" s="0" t="s">
        <v>385</v>
      </c>
      <c r="AE95" s="0" t="s">
        <v>738</v>
      </c>
      <c r="AF95" s="0" t="s">
        <v>739</v>
      </c>
      <c r="AG95" s="0" t="s">
        <v>740</v>
      </c>
      <c r="AH95" s="0" t="s">
        <v>741</v>
      </c>
      <c r="AI95" s="0" t="s">
        <v>46</v>
      </c>
      <c r="AJ95" s="0" t="s">
        <v>46</v>
      </c>
      <c r="AK95" s="0" t="s">
        <v>46</v>
      </c>
      <c r="AL95" s="0" t="s">
        <v>46</v>
      </c>
    </row>
    <row r="96" customFormat="false" ht="15" hidden="false" customHeight="false" outlineLevel="0" collapsed="false">
      <c r="B96" s="0" t="str">
        <f aca="false">HYPERLINK("https://genome.ucsc.edu/cgi-bin/hgTracks?db=hg19&amp;position=chr10%3A31652117%2D31652117", "chr10:31652117")</f>
        <v>chr10:31652117</v>
      </c>
      <c r="C96" s="0" t="s">
        <v>294</v>
      </c>
      <c r="D96" s="0" t="n">
        <v>31652117</v>
      </c>
      <c r="E96" s="0" t="n">
        <v>31652117</v>
      </c>
      <c r="F96" s="0" t="s">
        <v>82</v>
      </c>
      <c r="G96" s="0" t="s">
        <v>40</v>
      </c>
      <c r="H96" s="0" t="s">
        <v>745</v>
      </c>
      <c r="I96" s="0" t="s">
        <v>271</v>
      </c>
      <c r="J96" s="0" t="s">
        <v>746</v>
      </c>
      <c r="K96" s="0" t="s">
        <v>46</v>
      </c>
      <c r="L96" s="0" t="str">
        <f aca="false">HYPERLINK("https://www.ncbi.nlm.nih.gov/snp/rs765561325", "rs765561325")</f>
        <v>rs765561325</v>
      </c>
      <c r="M96" s="0" t="str">
        <f aca="false">HYPERLINK("https://www.genecards.org/Search/Keyword?queryString=%5Baliases%5D(%20LOC100505502%20)%20OR%20%5Baliases%5D(%20ZEB1%20)&amp;keywords=LOC100505502,ZEB1", "LOC100505502;ZEB1")</f>
        <v>LOC100505502;ZEB1</v>
      </c>
      <c r="N96" s="0" t="s">
        <v>747</v>
      </c>
      <c r="O96" s="0" t="s">
        <v>63</v>
      </c>
      <c r="P96" s="0" t="s">
        <v>748</v>
      </c>
      <c r="Q96" s="0" t="n">
        <v>0.0018</v>
      </c>
      <c r="R96" s="0" t="n">
        <v>0.0012</v>
      </c>
      <c r="S96" s="0" t="n">
        <v>0.0018</v>
      </c>
      <c r="T96" s="0" t="n">
        <v>-1</v>
      </c>
      <c r="U96" s="0" t="n">
        <v>0.0007</v>
      </c>
      <c r="V96" s="0" t="s">
        <v>749</v>
      </c>
      <c r="W96" s="0" t="s">
        <v>46</v>
      </c>
      <c r="X96" s="0" t="s">
        <v>46</v>
      </c>
      <c r="Y96" s="0" t="s">
        <v>46</v>
      </c>
      <c r="Z96" s="0" t="s">
        <v>46</v>
      </c>
      <c r="AA96" s="0" t="s">
        <v>46</v>
      </c>
      <c r="AB96" s="0" t="s">
        <v>46</v>
      </c>
      <c r="AC96" s="0" t="s">
        <v>50</v>
      </c>
      <c r="AD96" s="0" t="s">
        <v>750</v>
      </c>
      <c r="AE96" s="0" t="s">
        <v>738</v>
      </c>
      <c r="AF96" s="0" t="s">
        <v>739</v>
      </c>
      <c r="AG96" s="0" t="s">
        <v>740</v>
      </c>
      <c r="AH96" s="0" t="s">
        <v>741</v>
      </c>
      <c r="AI96" s="0" t="s">
        <v>46</v>
      </c>
      <c r="AJ96" s="0" t="s">
        <v>46</v>
      </c>
      <c r="AK96" s="0" t="s">
        <v>46</v>
      </c>
      <c r="AL96" s="0" t="s">
        <v>46</v>
      </c>
    </row>
    <row r="97" customFormat="false" ht="15" hidden="false" customHeight="false" outlineLevel="0" collapsed="false">
      <c r="B97" s="0" t="str">
        <f aca="false">HYPERLINK("https://genome.ucsc.edu/cgi-bin/hgTracks?db=hg19&amp;position=chr10%3A44788266%2D44788266", "chr10:44788266")</f>
        <v>chr10:44788266</v>
      </c>
      <c r="C97" s="0" t="s">
        <v>294</v>
      </c>
      <c r="D97" s="0" t="n">
        <v>44788266</v>
      </c>
      <c r="E97" s="0" t="n">
        <v>44788266</v>
      </c>
      <c r="F97" s="0" t="s">
        <v>185</v>
      </c>
      <c r="G97" s="0" t="s">
        <v>40</v>
      </c>
      <c r="H97" s="0" t="s">
        <v>751</v>
      </c>
      <c r="I97" s="0" t="s">
        <v>296</v>
      </c>
      <c r="J97" s="0" t="s">
        <v>752</v>
      </c>
      <c r="K97" s="0" t="s">
        <v>46</v>
      </c>
      <c r="L97" s="0" t="str">
        <f aca="false">HYPERLINK("https://www.ncbi.nlm.nih.gov/snp/rs544424594", "rs544424594")</f>
        <v>rs544424594</v>
      </c>
      <c r="M97" s="0" t="str">
        <f aca="false">HYPERLINK("https://www.genecards.org/Search/Keyword?queryString=%5Baliases%5D(%20C10orf142%20)%20OR%20%5Baliases%5D(%20LOC100130539%20)&amp;keywords=C10orf142,LOC100130539", "C10orf142;LOC100130539")</f>
        <v>C10orf142;LOC100130539</v>
      </c>
      <c r="N97" s="0" t="s">
        <v>468</v>
      </c>
      <c r="O97" s="0" t="s">
        <v>273</v>
      </c>
      <c r="P97" s="0" t="s">
        <v>753</v>
      </c>
      <c r="Q97" s="0" t="n">
        <v>0.0126</v>
      </c>
      <c r="R97" s="0" t="n">
        <v>0.0137</v>
      </c>
      <c r="S97" s="0" t="n">
        <v>0.0107</v>
      </c>
      <c r="T97" s="0" t="n">
        <v>-1</v>
      </c>
      <c r="U97" s="0" t="n">
        <v>0.0204</v>
      </c>
      <c r="V97" s="0" t="s">
        <v>46</v>
      </c>
      <c r="W97" s="0" t="s">
        <v>46</v>
      </c>
      <c r="X97" s="0" t="s">
        <v>46</v>
      </c>
      <c r="Y97" s="0" t="s">
        <v>46</v>
      </c>
      <c r="Z97" s="0" t="s">
        <v>46</v>
      </c>
      <c r="AA97" s="0" t="s">
        <v>46</v>
      </c>
      <c r="AB97" s="0" t="s">
        <v>46</v>
      </c>
      <c r="AC97" s="0" t="s">
        <v>50</v>
      </c>
      <c r="AD97" s="0" t="s">
        <v>191</v>
      </c>
      <c r="AE97" s="0" t="s">
        <v>46</v>
      </c>
      <c r="AF97" s="0" t="s">
        <v>754</v>
      </c>
      <c r="AG97" s="0" t="s">
        <v>46</v>
      </c>
      <c r="AH97" s="0" t="s">
        <v>46</v>
      </c>
      <c r="AI97" s="0" t="s">
        <v>46</v>
      </c>
      <c r="AJ97" s="0" t="s">
        <v>46</v>
      </c>
      <c r="AK97" s="0" t="s">
        <v>46</v>
      </c>
      <c r="AL97" s="0" t="s">
        <v>46</v>
      </c>
    </row>
    <row r="98" customFormat="false" ht="15" hidden="false" customHeight="false" outlineLevel="0" collapsed="false">
      <c r="B98" s="0" t="str">
        <f aca="false">HYPERLINK("https://genome.ucsc.edu/cgi-bin/hgTracks?db=hg19&amp;position=chr10%3A73056569%2D73056569", "chr10:73056569")</f>
        <v>chr10:73056569</v>
      </c>
      <c r="C98" s="0" t="s">
        <v>294</v>
      </c>
      <c r="D98" s="0" t="n">
        <v>73056569</v>
      </c>
      <c r="E98" s="0" t="n">
        <v>73056569</v>
      </c>
      <c r="F98" s="0" t="s">
        <v>39</v>
      </c>
      <c r="G98" s="0" t="s">
        <v>40</v>
      </c>
      <c r="H98" s="0" t="s">
        <v>755</v>
      </c>
      <c r="I98" s="0" t="s">
        <v>756</v>
      </c>
      <c r="J98" s="0" t="s">
        <v>757</v>
      </c>
      <c r="K98" s="0" t="s">
        <v>46</v>
      </c>
      <c r="L98" s="0" t="str">
        <f aca="false">HYPERLINK("https://www.ncbi.nlm.nih.gov/snp/rs12246798", "rs12246798")</f>
        <v>rs12246798</v>
      </c>
      <c r="M98" s="0" t="str">
        <f aca="false">HYPERLINK("https://www.genecards.org/Search/Keyword?queryString=%5Baliases%5D(%20UNC5B%20)&amp;keywords=UNC5B", "UNC5B")</f>
        <v>UNC5B</v>
      </c>
      <c r="N98" s="0" t="s">
        <v>45</v>
      </c>
      <c r="O98" s="0" t="s">
        <v>46</v>
      </c>
      <c r="P98" s="0" t="s">
        <v>46</v>
      </c>
      <c r="Q98" s="0" t="n">
        <v>0.010673</v>
      </c>
      <c r="R98" s="0" t="n">
        <v>0.0049</v>
      </c>
      <c r="S98" s="0" t="n">
        <v>0.0047</v>
      </c>
      <c r="T98" s="0" t="n">
        <v>-1</v>
      </c>
      <c r="U98" s="0" t="n">
        <v>0.0058</v>
      </c>
      <c r="V98" s="0" t="s">
        <v>46</v>
      </c>
      <c r="W98" s="0" t="s">
        <v>46</v>
      </c>
      <c r="X98" s="0" t="s">
        <v>47</v>
      </c>
      <c r="Y98" s="0" t="s">
        <v>48</v>
      </c>
      <c r="Z98" s="0" t="s">
        <v>46</v>
      </c>
      <c r="AA98" s="0" t="s">
        <v>46</v>
      </c>
      <c r="AB98" s="0" t="s">
        <v>46</v>
      </c>
      <c r="AC98" s="0" t="s">
        <v>50</v>
      </c>
      <c r="AD98" s="0" t="s">
        <v>51</v>
      </c>
      <c r="AE98" s="0" t="s">
        <v>758</v>
      </c>
      <c r="AF98" s="0" t="s">
        <v>759</v>
      </c>
      <c r="AG98" s="0" t="s">
        <v>760</v>
      </c>
      <c r="AH98" s="0" t="s">
        <v>46</v>
      </c>
      <c r="AI98" s="0" t="s">
        <v>46</v>
      </c>
      <c r="AJ98" s="0" t="s">
        <v>46</v>
      </c>
      <c r="AK98" s="0" t="s">
        <v>46</v>
      </c>
      <c r="AL98" s="0" t="s">
        <v>46</v>
      </c>
    </row>
    <row r="99" customFormat="false" ht="15" hidden="false" customHeight="false" outlineLevel="0" collapsed="false">
      <c r="B99" s="0" t="str">
        <f aca="false">HYPERLINK("https://genome.ucsc.edu/cgi-bin/hgTracks?db=hg19&amp;position=chr10%3A75674012%2D75674012", "chr10:75674012")</f>
        <v>chr10:75674012</v>
      </c>
      <c r="C99" s="0" t="s">
        <v>294</v>
      </c>
      <c r="D99" s="0" t="n">
        <v>75674012</v>
      </c>
      <c r="E99" s="0" t="n">
        <v>75674012</v>
      </c>
      <c r="F99" s="0" t="s">
        <v>40</v>
      </c>
      <c r="G99" s="0" t="s">
        <v>82</v>
      </c>
      <c r="H99" s="0" t="s">
        <v>761</v>
      </c>
      <c r="I99" s="0" t="s">
        <v>251</v>
      </c>
      <c r="J99" s="0" t="s">
        <v>762</v>
      </c>
      <c r="K99" s="0" t="s">
        <v>46</v>
      </c>
      <c r="L99" s="0" t="str">
        <f aca="false">HYPERLINK("https://www.ncbi.nlm.nih.gov/snp/rs117953441", "rs117953441")</f>
        <v>rs117953441</v>
      </c>
      <c r="M99" s="0" t="str">
        <f aca="false">HYPERLINK("https://www.genecards.org/Search/Keyword?queryString=%5Baliases%5D(%20C10orf55%20)%20OR%20%5Baliases%5D(%20PLAU%20)&amp;keywords=C10orf55,PLAU", "C10orf55;PLAU")</f>
        <v>C10orf55;PLAU</v>
      </c>
      <c r="N99" s="0" t="s">
        <v>306</v>
      </c>
      <c r="O99" s="0" t="s">
        <v>46</v>
      </c>
      <c r="P99" s="0" t="s">
        <v>46</v>
      </c>
      <c r="Q99" s="0" t="n">
        <v>0.0069</v>
      </c>
      <c r="R99" s="0" t="n">
        <v>0.0049</v>
      </c>
      <c r="S99" s="0" t="n">
        <v>0.0054</v>
      </c>
      <c r="T99" s="0" t="n">
        <v>-1</v>
      </c>
      <c r="U99" s="0" t="n">
        <v>0.0081</v>
      </c>
      <c r="V99" s="0" t="s">
        <v>46</v>
      </c>
      <c r="W99" s="0" t="s">
        <v>46</v>
      </c>
      <c r="X99" s="0" t="s">
        <v>307</v>
      </c>
      <c r="Y99" s="0" t="s">
        <v>48</v>
      </c>
      <c r="Z99" s="0" t="s">
        <v>46</v>
      </c>
      <c r="AA99" s="0" t="s">
        <v>46</v>
      </c>
      <c r="AB99" s="0" t="s">
        <v>46</v>
      </c>
      <c r="AC99" s="0" t="s">
        <v>50</v>
      </c>
      <c r="AD99" s="0" t="s">
        <v>191</v>
      </c>
      <c r="AE99" s="0" t="s">
        <v>763</v>
      </c>
      <c r="AF99" s="0" t="s">
        <v>764</v>
      </c>
      <c r="AG99" s="0" t="s">
        <v>765</v>
      </c>
      <c r="AH99" s="0" t="s">
        <v>766</v>
      </c>
      <c r="AI99" s="0" t="s">
        <v>46</v>
      </c>
      <c r="AJ99" s="0" t="s">
        <v>46</v>
      </c>
      <c r="AK99" s="0" t="s">
        <v>46</v>
      </c>
      <c r="AL99" s="0" t="s">
        <v>46</v>
      </c>
    </row>
    <row r="100" customFormat="false" ht="15" hidden="false" customHeight="false" outlineLevel="0" collapsed="false">
      <c r="B100" s="0" t="str">
        <f aca="false">HYPERLINK("https://genome.ucsc.edu/cgi-bin/hgTracks?db=hg19&amp;position=chr10%3A97154706%2D97154706", "chr10:97154706")</f>
        <v>chr10:97154706</v>
      </c>
      <c r="C100" s="0" t="s">
        <v>294</v>
      </c>
      <c r="D100" s="0" t="n">
        <v>97154706</v>
      </c>
      <c r="E100" s="0" t="n">
        <v>97154706</v>
      </c>
      <c r="F100" s="0" t="s">
        <v>57</v>
      </c>
      <c r="G100" s="0" t="s">
        <v>82</v>
      </c>
      <c r="H100" s="0" t="s">
        <v>767</v>
      </c>
      <c r="I100" s="0" t="s">
        <v>352</v>
      </c>
      <c r="J100" s="0" t="s">
        <v>768</v>
      </c>
      <c r="K100" s="0" t="s">
        <v>46</v>
      </c>
      <c r="L100" s="0" t="str">
        <f aca="false">HYPERLINK("https://www.ncbi.nlm.nih.gov/snp/rs141124490", "rs141124490")</f>
        <v>rs141124490</v>
      </c>
      <c r="M100" s="0" t="str">
        <f aca="false">HYPERLINK("https://www.genecards.org/Search/Keyword?queryString=%5Baliases%5D(%20SORBS1%20)&amp;keywords=SORBS1", "SORBS1")</f>
        <v>SORBS1</v>
      </c>
      <c r="N100" s="0" t="s">
        <v>45</v>
      </c>
      <c r="O100" s="0" t="s">
        <v>46</v>
      </c>
      <c r="P100" s="0" t="s">
        <v>46</v>
      </c>
      <c r="Q100" s="0" t="n">
        <v>0.0174</v>
      </c>
      <c r="R100" s="0" t="n">
        <v>0.016</v>
      </c>
      <c r="S100" s="0" t="n">
        <v>0.0153</v>
      </c>
      <c r="T100" s="0" t="n">
        <v>-1</v>
      </c>
      <c r="U100" s="0" t="n">
        <v>0.0143</v>
      </c>
      <c r="V100" s="0" t="s">
        <v>46</v>
      </c>
      <c r="W100" s="0" t="s">
        <v>46</v>
      </c>
      <c r="X100" s="0" t="s">
        <v>47</v>
      </c>
      <c r="Y100" s="0" t="s">
        <v>48</v>
      </c>
      <c r="Z100" s="0" t="s">
        <v>46</v>
      </c>
      <c r="AA100" s="0" t="s">
        <v>46</v>
      </c>
      <c r="AB100" s="0" t="s">
        <v>46</v>
      </c>
      <c r="AC100" s="0" t="s">
        <v>50</v>
      </c>
      <c r="AD100" s="0" t="s">
        <v>51</v>
      </c>
      <c r="AE100" s="0" t="s">
        <v>769</v>
      </c>
      <c r="AF100" s="0" t="s">
        <v>770</v>
      </c>
      <c r="AG100" s="0" t="s">
        <v>771</v>
      </c>
      <c r="AH100" s="0" t="s">
        <v>46</v>
      </c>
      <c r="AI100" s="0" t="s">
        <v>46</v>
      </c>
      <c r="AJ100" s="0" t="s">
        <v>46</v>
      </c>
      <c r="AK100" s="0" t="s">
        <v>46</v>
      </c>
      <c r="AL100" s="0" t="s">
        <v>46</v>
      </c>
    </row>
    <row r="101" customFormat="false" ht="15" hidden="false" customHeight="false" outlineLevel="0" collapsed="false">
      <c r="B101" s="0" t="str">
        <f aca="false">HYPERLINK("https://genome.ucsc.edu/cgi-bin/hgTracks?db=hg19&amp;position=chr10%3A121567576%2D121567576", "chr10:121567576")</f>
        <v>chr10:121567576</v>
      </c>
      <c r="C101" s="0" t="s">
        <v>294</v>
      </c>
      <c r="D101" s="0" t="n">
        <v>121567576</v>
      </c>
      <c r="E101" s="0" t="n">
        <v>121567576</v>
      </c>
      <c r="F101" s="0" t="s">
        <v>57</v>
      </c>
      <c r="G101" s="0" t="s">
        <v>39</v>
      </c>
      <c r="H101" s="0" t="s">
        <v>772</v>
      </c>
      <c r="I101" s="0" t="s">
        <v>773</v>
      </c>
      <c r="J101" s="0" t="s">
        <v>774</v>
      </c>
      <c r="K101" s="0" t="s">
        <v>46</v>
      </c>
      <c r="L101" s="0" t="s">
        <v>46</v>
      </c>
      <c r="M101" s="0" t="str">
        <f aca="false">HYPERLINK("https://www.genecards.org/Search/Keyword?queryString=%5Baliases%5D(%20INPP5F%20)&amp;keywords=INPP5F", "INPP5F")</f>
        <v>INPP5F</v>
      </c>
      <c r="N101" s="0" t="s">
        <v>45</v>
      </c>
      <c r="O101" s="0" t="s">
        <v>46</v>
      </c>
      <c r="P101" s="0" t="s">
        <v>46</v>
      </c>
      <c r="Q101" s="0" t="n">
        <v>-1</v>
      </c>
      <c r="R101" s="0" t="n">
        <v>-1</v>
      </c>
      <c r="S101" s="0" t="n">
        <v>-1</v>
      </c>
      <c r="T101" s="0" t="n">
        <v>-1</v>
      </c>
      <c r="U101" s="0" t="n">
        <v>-1</v>
      </c>
      <c r="V101" s="0" t="s">
        <v>46</v>
      </c>
      <c r="W101" s="0" t="s">
        <v>82</v>
      </c>
      <c r="X101" s="0" t="s">
        <v>47</v>
      </c>
      <c r="Y101" s="0" t="s">
        <v>200</v>
      </c>
      <c r="Z101" s="0" t="s">
        <v>46</v>
      </c>
      <c r="AA101" s="0" t="s">
        <v>46</v>
      </c>
      <c r="AB101" s="0" t="s">
        <v>46</v>
      </c>
      <c r="AC101" s="0" t="s">
        <v>50</v>
      </c>
      <c r="AD101" s="0" t="s">
        <v>51</v>
      </c>
      <c r="AE101" s="0" t="s">
        <v>775</v>
      </c>
      <c r="AF101" s="0" t="s">
        <v>776</v>
      </c>
      <c r="AG101" s="0" t="s">
        <v>777</v>
      </c>
      <c r="AH101" s="0" t="s">
        <v>46</v>
      </c>
      <c r="AI101" s="0" t="s">
        <v>46</v>
      </c>
      <c r="AJ101" s="0" t="s">
        <v>46</v>
      </c>
      <c r="AK101" s="0" t="s">
        <v>46</v>
      </c>
      <c r="AL101" s="0" t="s">
        <v>46</v>
      </c>
    </row>
    <row r="102" customFormat="false" ht="15" hidden="false" customHeight="false" outlineLevel="0" collapsed="false">
      <c r="B102" s="0" t="str">
        <f aca="false">HYPERLINK("https://genome.ucsc.edu/cgi-bin/hgTracks?db=hg19&amp;position=chr10%3A126691951%2D126691951", "chr10:126691951")</f>
        <v>chr10:126691951</v>
      </c>
      <c r="C102" s="0" t="s">
        <v>294</v>
      </c>
      <c r="D102" s="0" t="n">
        <v>126691951</v>
      </c>
      <c r="E102" s="0" t="n">
        <v>126691951</v>
      </c>
      <c r="F102" s="0" t="s">
        <v>40</v>
      </c>
      <c r="G102" s="0" t="s">
        <v>185</v>
      </c>
      <c r="H102" s="0" t="s">
        <v>778</v>
      </c>
      <c r="I102" s="0" t="s">
        <v>338</v>
      </c>
      <c r="J102" s="0" t="s">
        <v>779</v>
      </c>
      <c r="K102" s="0" t="s">
        <v>46</v>
      </c>
      <c r="L102" s="0" t="s">
        <v>46</v>
      </c>
      <c r="M102" s="0" t="str">
        <f aca="false">HYPERLINK("https://www.genecards.org/Search/Keyword?queryString=%5Baliases%5D(%20CTBP2%20)&amp;keywords=CTBP2", "CTBP2")</f>
        <v>CTBP2</v>
      </c>
      <c r="N102" s="0" t="s">
        <v>62</v>
      </c>
      <c r="O102" s="0" t="s">
        <v>262</v>
      </c>
      <c r="P102" s="0" t="s">
        <v>780</v>
      </c>
      <c r="Q102" s="0" t="n">
        <v>-1</v>
      </c>
      <c r="R102" s="0" t="n">
        <v>-1</v>
      </c>
      <c r="S102" s="0" t="n">
        <v>-1</v>
      </c>
      <c r="T102" s="0" t="n">
        <v>-1</v>
      </c>
      <c r="U102" s="0" t="n">
        <v>-1</v>
      </c>
      <c r="V102" s="0" t="s">
        <v>46</v>
      </c>
      <c r="W102" s="0" t="s">
        <v>46</v>
      </c>
      <c r="X102" s="0" t="s">
        <v>46</v>
      </c>
      <c r="Y102" s="0" t="s">
        <v>46</v>
      </c>
      <c r="Z102" s="0" t="s">
        <v>46</v>
      </c>
      <c r="AA102" s="0" t="s">
        <v>46</v>
      </c>
      <c r="AB102" s="0" t="s">
        <v>46</v>
      </c>
      <c r="AC102" s="0" t="s">
        <v>50</v>
      </c>
      <c r="AD102" s="0" t="s">
        <v>385</v>
      </c>
      <c r="AE102" s="0" t="s">
        <v>386</v>
      </c>
      <c r="AF102" s="0" t="s">
        <v>387</v>
      </c>
      <c r="AG102" s="0" t="s">
        <v>388</v>
      </c>
      <c r="AH102" s="0" t="s">
        <v>46</v>
      </c>
      <c r="AI102" s="0" t="s">
        <v>46</v>
      </c>
      <c r="AJ102" s="0" t="s">
        <v>46</v>
      </c>
      <c r="AK102" s="0" t="s">
        <v>46</v>
      </c>
      <c r="AL102" s="0" t="s">
        <v>46</v>
      </c>
    </row>
    <row r="103" customFormat="false" ht="15" hidden="false" customHeight="false" outlineLevel="0" collapsed="false">
      <c r="B103" s="0" t="str">
        <f aca="false">HYPERLINK("https://genome.ucsc.edu/cgi-bin/hgTracks?db=hg19&amp;position=chr10%3A126727615%2D126727615", "chr10:126727615")</f>
        <v>chr10:126727615</v>
      </c>
      <c r="C103" s="0" t="s">
        <v>294</v>
      </c>
      <c r="D103" s="0" t="n">
        <v>126727615</v>
      </c>
      <c r="E103" s="0" t="n">
        <v>126727615</v>
      </c>
      <c r="F103" s="0" t="s">
        <v>57</v>
      </c>
      <c r="G103" s="0" t="s">
        <v>185</v>
      </c>
      <c r="H103" s="0" t="s">
        <v>781</v>
      </c>
      <c r="I103" s="0" t="s">
        <v>782</v>
      </c>
      <c r="J103" s="0" t="s">
        <v>783</v>
      </c>
      <c r="K103" s="0" t="s">
        <v>46</v>
      </c>
      <c r="L103" s="0" t="str">
        <f aca="false">HYPERLINK("https://www.ncbi.nlm.nih.gov/snp/rs144283283", "rs144283283")</f>
        <v>rs144283283</v>
      </c>
      <c r="M103" s="0" t="str">
        <f aca="false">HYPERLINK("https://www.genecards.org/Search/Keyword?queryString=%5Baliases%5D(%20CTBP2%20)&amp;keywords=CTBP2", "CTBP2")</f>
        <v>CTBP2</v>
      </c>
      <c r="N103" s="0" t="s">
        <v>62</v>
      </c>
      <c r="O103" s="0" t="s">
        <v>262</v>
      </c>
      <c r="P103" s="0" t="s">
        <v>784</v>
      </c>
      <c r="Q103" s="0" t="n">
        <v>6.5E-006</v>
      </c>
      <c r="R103" s="0" t="n">
        <v>-1</v>
      </c>
      <c r="S103" s="0" t="n">
        <v>-1</v>
      </c>
      <c r="T103" s="0" t="n">
        <v>-1</v>
      </c>
      <c r="U103" s="0" t="n">
        <v>-1</v>
      </c>
      <c r="V103" s="0" t="s">
        <v>46</v>
      </c>
      <c r="W103" s="0" t="s">
        <v>46</v>
      </c>
      <c r="X103" s="0" t="s">
        <v>46</v>
      </c>
      <c r="Y103" s="0" t="s">
        <v>46</v>
      </c>
      <c r="Z103" s="0" t="s">
        <v>46</v>
      </c>
      <c r="AA103" s="0" t="s">
        <v>46</v>
      </c>
      <c r="AB103" s="0" t="s">
        <v>46</v>
      </c>
      <c r="AC103" s="0" t="s">
        <v>50</v>
      </c>
      <c r="AD103" s="0" t="s">
        <v>385</v>
      </c>
      <c r="AE103" s="0" t="s">
        <v>386</v>
      </c>
      <c r="AF103" s="0" t="s">
        <v>387</v>
      </c>
      <c r="AG103" s="0" t="s">
        <v>388</v>
      </c>
      <c r="AH103" s="0" t="s">
        <v>46</v>
      </c>
      <c r="AI103" s="0" t="s">
        <v>46</v>
      </c>
      <c r="AJ103" s="0" t="s">
        <v>46</v>
      </c>
      <c r="AK103" s="0" t="s">
        <v>46</v>
      </c>
      <c r="AL103" s="0" t="s">
        <v>46</v>
      </c>
    </row>
    <row r="104" customFormat="false" ht="15" hidden="false" customHeight="false" outlineLevel="0" collapsed="false">
      <c r="B104" s="0" t="str">
        <f aca="false">HYPERLINK("https://genome.ucsc.edu/cgi-bin/hgTracks?db=hg19&amp;position=chr10%3A129905112%2D129905113", "chr10:129905112")</f>
        <v>chr10:129905112</v>
      </c>
      <c r="C104" s="0" t="s">
        <v>294</v>
      </c>
      <c r="D104" s="0" t="n">
        <v>129905112</v>
      </c>
      <c r="E104" s="0" t="n">
        <v>129905113</v>
      </c>
      <c r="F104" s="0" t="s">
        <v>785</v>
      </c>
      <c r="G104" s="0" t="s">
        <v>185</v>
      </c>
      <c r="H104" s="0" t="s">
        <v>786</v>
      </c>
      <c r="I104" s="0" t="s">
        <v>782</v>
      </c>
      <c r="J104" s="0" t="s">
        <v>787</v>
      </c>
      <c r="K104" s="0" t="s">
        <v>46</v>
      </c>
      <c r="L104" s="0" t="str">
        <f aca="false">HYPERLINK("https://www.ncbi.nlm.nih.gov/snp/rs145960091", "rs145960091")</f>
        <v>rs145960091</v>
      </c>
      <c r="M104" s="0" t="str">
        <f aca="false">HYPERLINK("https://www.genecards.org/Search/Keyword?queryString=%5Baliases%5D(%20MKI67%20)&amp;keywords=MKI67", "MKI67")</f>
        <v>MKI67</v>
      </c>
      <c r="N104" s="0" t="s">
        <v>62</v>
      </c>
      <c r="O104" s="0" t="s">
        <v>262</v>
      </c>
      <c r="P104" s="0" t="s">
        <v>788</v>
      </c>
      <c r="Q104" s="0" t="n">
        <v>0.0021</v>
      </c>
      <c r="R104" s="0" t="n">
        <v>0.0001</v>
      </c>
      <c r="S104" s="0" t="n">
        <v>-1</v>
      </c>
      <c r="T104" s="0" t="n">
        <v>-1</v>
      </c>
      <c r="U104" s="0" t="n">
        <v>-1</v>
      </c>
      <c r="V104" s="0" t="s">
        <v>46</v>
      </c>
      <c r="W104" s="0" t="s">
        <v>46</v>
      </c>
      <c r="X104" s="0" t="s">
        <v>46</v>
      </c>
      <c r="Y104" s="0" t="s">
        <v>46</v>
      </c>
      <c r="Z104" s="0" t="s">
        <v>46</v>
      </c>
      <c r="AA104" s="0" t="s">
        <v>46</v>
      </c>
      <c r="AB104" s="0" t="s">
        <v>46</v>
      </c>
      <c r="AC104" s="0" t="s">
        <v>50</v>
      </c>
      <c r="AD104" s="0" t="s">
        <v>51</v>
      </c>
      <c r="AE104" s="0" t="s">
        <v>789</v>
      </c>
      <c r="AF104" s="0" t="s">
        <v>790</v>
      </c>
      <c r="AG104" s="0" t="s">
        <v>791</v>
      </c>
      <c r="AH104" s="0" t="s">
        <v>46</v>
      </c>
      <c r="AI104" s="0" t="s">
        <v>46</v>
      </c>
      <c r="AJ104" s="0" t="s">
        <v>46</v>
      </c>
      <c r="AK104" s="0" t="s">
        <v>46</v>
      </c>
      <c r="AL104" s="0" t="s">
        <v>46</v>
      </c>
    </row>
    <row r="105" customFormat="false" ht="15" hidden="false" customHeight="false" outlineLevel="0" collapsed="false">
      <c r="B105" s="0" t="str">
        <f aca="false">HYPERLINK("https://genome.ucsc.edu/cgi-bin/hgTracks?db=hg19&amp;position=chr11%3A824196%2D824196", "chr11:824196")</f>
        <v>chr11:824196</v>
      </c>
      <c r="C105" s="0" t="s">
        <v>389</v>
      </c>
      <c r="D105" s="0" t="n">
        <v>824196</v>
      </c>
      <c r="E105" s="0" t="n">
        <v>824196</v>
      </c>
      <c r="F105" s="0" t="s">
        <v>39</v>
      </c>
      <c r="G105" s="0" t="s">
        <v>57</v>
      </c>
      <c r="H105" s="0" t="s">
        <v>792</v>
      </c>
      <c r="I105" s="0" t="s">
        <v>793</v>
      </c>
      <c r="J105" s="0" t="s">
        <v>794</v>
      </c>
      <c r="K105" s="0" t="s">
        <v>46</v>
      </c>
      <c r="L105" s="0" t="str">
        <f aca="false">HYPERLINK("https://www.ncbi.nlm.nih.gov/snp/rs568726723", "rs568726723")</f>
        <v>rs568726723</v>
      </c>
      <c r="M105" s="0" t="str">
        <f aca="false">HYPERLINK("https://www.genecards.org/Search/Keyword?queryString=%5Baliases%5D(%20PNPLA2%20)&amp;keywords=PNPLA2", "PNPLA2")</f>
        <v>PNPLA2</v>
      </c>
      <c r="N105" s="0" t="s">
        <v>306</v>
      </c>
      <c r="O105" s="0" t="s">
        <v>46</v>
      </c>
      <c r="P105" s="0" t="s">
        <v>46</v>
      </c>
      <c r="Q105" s="0" t="n">
        <v>0.001</v>
      </c>
      <c r="R105" s="0" t="n">
        <v>0.0006</v>
      </c>
      <c r="S105" s="0" t="n">
        <v>0.0005</v>
      </c>
      <c r="T105" s="0" t="n">
        <v>-1</v>
      </c>
      <c r="U105" s="0" t="n">
        <v>0.0007</v>
      </c>
      <c r="V105" s="0" t="s">
        <v>46</v>
      </c>
      <c r="W105" s="0" t="s">
        <v>46</v>
      </c>
      <c r="X105" s="0" t="s">
        <v>307</v>
      </c>
      <c r="Y105" s="0" t="s">
        <v>48</v>
      </c>
      <c r="Z105" s="0" t="s">
        <v>46</v>
      </c>
      <c r="AA105" s="0" t="s">
        <v>46</v>
      </c>
      <c r="AB105" s="0" t="s">
        <v>46</v>
      </c>
      <c r="AC105" s="0" t="s">
        <v>50</v>
      </c>
      <c r="AD105" s="0" t="s">
        <v>51</v>
      </c>
      <c r="AE105" s="0" t="s">
        <v>795</v>
      </c>
      <c r="AF105" s="0" t="s">
        <v>796</v>
      </c>
      <c r="AG105" s="0" t="s">
        <v>797</v>
      </c>
      <c r="AH105" s="0" t="s">
        <v>798</v>
      </c>
      <c r="AI105" s="0" t="s">
        <v>46</v>
      </c>
      <c r="AJ105" s="0" t="s">
        <v>46</v>
      </c>
      <c r="AK105" s="0" t="s">
        <v>46</v>
      </c>
      <c r="AL105" s="0" t="s">
        <v>46</v>
      </c>
    </row>
    <row r="106" customFormat="false" ht="15" hidden="false" customHeight="false" outlineLevel="0" collapsed="false">
      <c r="B106" s="0" t="str">
        <f aca="false">HYPERLINK("https://genome.ucsc.edu/cgi-bin/hgTracks?db=hg19&amp;position=chr11%3A1085814%2D1085814", "chr11:1085814")</f>
        <v>chr11:1085814</v>
      </c>
      <c r="C106" s="0" t="s">
        <v>389</v>
      </c>
      <c r="D106" s="0" t="n">
        <v>1085814</v>
      </c>
      <c r="E106" s="0" t="n">
        <v>1085814</v>
      </c>
      <c r="F106" s="0" t="s">
        <v>185</v>
      </c>
      <c r="G106" s="0" t="s">
        <v>57</v>
      </c>
      <c r="H106" s="0" t="s">
        <v>799</v>
      </c>
      <c r="I106" s="0" t="s">
        <v>800</v>
      </c>
      <c r="J106" s="0" t="s">
        <v>801</v>
      </c>
      <c r="K106" s="0" t="s">
        <v>46</v>
      </c>
      <c r="L106" s="0" t="s">
        <v>46</v>
      </c>
      <c r="M106" s="0" t="str">
        <f aca="false">HYPERLINK("https://www.genecards.org/Search/Keyword?queryString=%5Baliases%5D(%20MUC2%20)&amp;keywords=MUC2", "MUC2")</f>
        <v>MUC2</v>
      </c>
      <c r="N106" s="0" t="s">
        <v>62</v>
      </c>
      <c r="O106" s="0" t="s">
        <v>273</v>
      </c>
      <c r="P106" s="0" t="s">
        <v>802</v>
      </c>
      <c r="Q106" s="0" t="n">
        <v>0.0016</v>
      </c>
      <c r="R106" s="0" t="n">
        <v>-1</v>
      </c>
      <c r="S106" s="0" t="n">
        <v>-1</v>
      </c>
      <c r="T106" s="0" t="n">
        <v>-1</v>
      </c>
      <c r="U106" s="0" t="n">
        <v>-1</v>
      </c>
      <c r="V106" s="0" t="s">
        <v>46</v>
      </c>
      <c r="W106" s="0" t="s">
        <v>46</v>
      </c>
      <c r="X106" s="0" t="s">
        <v>46</v>
      </c>
      <c r="Y106" s="0" t="s">
        <v>46</v>
      </c>
      <c r="Z106" s="0" t="s">
        <v>46</v>
      </c>
      <c r="AA106" s="0" t="s">
        <v>46</v>
      </c>
      <c r="AB106" s="0" t="s">
        <v>46</v>
      </c>
      <c r="AC106" s="0" t="s">
        <v>50</v>
      </c>
      <c r="AD106" s="0" t="s">
        <v>385</v>
      </c>
      <c r="AE106" s="0" t="s">
        <v>803</v>
      </c>
      <c r="AF106" s="0" t="s">
        <v>804</v>
      </c>
      <c r="AG106" s="0" t="s">
        <v>805</v>
      </c>
      <c r="AH106" s="0" t="s">
        <v>46</v>
      </c>
      <c r="AI106" s="0" t="s">
        <v>46</v>
      </c>
      <c r="AJ106" s="0" t="s">
        <v>46</v>
      </c>
      <c r="AK106" s="0" t="s">
        <v>46</v>
      </c>
      <c r="AL106" s="0" t="s">
        <v>46</v>
      </c>
    </row>
    <row r="107" customFormat="false" ht="15" hidden="false" customHeight="false" outlineLevel="0" collapsed="false">
      <c r="B107" s="0" t="str">
        <f aca="false">HYPERLINK("https://genome.ucsc.edu/cgi-bin/hgTracks?db=hg19&amp;position=chr11%3A1085817%2D1085817", "chr11:1085817")</f>
        <v>chr11:1085817</v>
      </c>
      <c r="C107" s="0" t="s">
        <v>389</v>
      </c>
      <c r="D107" s="0" t="n">
        <v>1085817</v>
      </c>
      <c r="E107" s="0" t="n">
        <v>1085817</v>
      </c>
      <c r="F107" s="0" t="s">
        <v>185</v>
      </c>
      <c r="G107" s="0" t="s">
        <v>57</v>
      </c>
      <c r="H107" s="0" t="s">
        <v>806</v>
      </c>
      <c r="I107" s="0" t="s">
        <v>807</v>
      </c>
      <c r="J107" s="0" t="s">
        <v>808</v>
      </c>
      <c r="K107" s="0" t="s">
        <v>46</v>
      </c>
      <c r="L107" s="0" t="s">
        <v>46</v>
      </c>
      <c r="M107" s="0" t="str">
        <f aca="false">HYPERLINK("https://www.genecards.org/Search/Keyword?queryString=%5Baliases%5D(%20MUC2%20)&amp;keywords=MUC2", "MUC2")</f>
        <v>MUC2</v>
      </c>
      <c r="N107" s="0" t="s">
        <v>62</v>
      </c>
      <c r="O107" s="0" t="s">
        <v>273</v>
      </c>
      <c r="P107" s="0" t="s">
        <v>809</v>
      </c>
      <c r="Q107" s="0" t="n">
        <v>0.0016</v>
      </c>
      <c r="R107" s="0" t="n">
        <v>-1</v>
      </c>
      <c r="S107" s="0" t="n">
        <v>-1</v>
      </c>
      <c r="T107" s="0" t="n">
        <v>-1</v>
      </c>
      <c r="U107" s="0" t="n">
        <v>-1</v>
      </c>
      <c r="V107" s="0" t="s">
        <v>46</v>
      </c>
      <c r="W107" s="0" t="s">
        <v>46</v>
      </c>
      <c r="X107" s="0" t="s">
        <v>46</v>
      </c>
      <c r="Y107" s="0" t="s">
        <v>46</v>
      </c>
      <c r="Z107" s="0" t="s">
        <v>46</v>
      </c>
      <c r="AA107" s="0" t="s">
        <v>46</v>
      </c>
      <c r="AB107" s="0" t="s">
        <v>46</v>
      </c>
      <c r="AC107" s="0" t="s">
        <v>50</v>
      </c>
      <c r="AD107" s="0" t="s">
        <v>385</v>
      </c>
      <c r="AE107" s="0" t="s">
        <v>803</v>
      </c>
      <c r="AF107" s="0" t="s">
        <v>804</v>
      </c>
      <c r="AG107" s="0" t="s">
        <v>805</v>
      </c>
      <c r="AH107" s="0" t="s">
        <v>46</v>
      </c>
      <c r="AI107" s="0" t="s">
        <v>46</v>
      </c>
      <c r="AJ107" s="0" t="s">
        <v>46</v>
      </c>
      <c r="AK107" s="0" t="s">
        <v>46</v>
      </c>
      <c r="AL107" s="0" t="s">
        <v>46</v>
      </c>
    </row>
    <row r="108" customFormat="false" ht="15" hidden="false" customHeight="false" outlineLevel="0" collapsed="false">
      <c r="B108" s="0" t="str">
        <f aca="false">HYPERLINK("https://genome.ucsc.edu/cgi-bin/hgTracks?db=hg19&amp;position=chr11%3A1085819%2D1085820", "chr11:1085819")</f>
        <v>chr11:1085819</v>
      </c>
      <c r="C108" s="0" t="s">
        <v>389</v>
      </c>
      <c r="D108" s="0" t="n">
        <v>1085819</v>
      </c>
      <c r="E108" s="0" t="n">
        <v>1085820</v>
      </c>
      <c r="F108" s="0" t="s">
        <v>810</v>
      </c>
      <c r="G108" s="0" t="s">
        <v>185</v>
      </c>
      <c r="H108" s="0" t="s">
        <v>811</v>
      </c>
      <c r="I108" s="0" t="s">
        <v>812</v>
      </c>
      <c r="J108" s="0" t="s">
        <v>813</v>
      </c>
      <c r="K108" s="0" t="s">
        <v>46</v>
      </c>
      <c r="L108" s="0" t="s">
        <v>46</v>
      </c>
      <c r="M108" s="0" t="str">
        <f aca="false">HYPERLINK("https://www.genecards.org/Search/Keyword?queryString=%5Baliases%5D(%20MUC2%20)&amp;keywords=MUC2", "MUC2")</f>
        <v>MUC2</v>
      </c>
      <c r="N108" s="0" t="s">
        <v>62</v>
      </c>
      <c r="O108" s="0" t="s">
        <v>262</v>
      </c>
      <c r="P108" s="0" t="s">
        <v>814</v>
      </c>
      <c r="Q108" s="0" t="n">
        <v>0.0015</v>
      </c>
      <c r="R108" s="0" t="n">
        <v>-1</v>
      </c>
      <c r="S108" s="0" t="n">
        <v>-1</v>
      </c>
      <c r="T108" s="0" t="n">
        <v>-1</v>
      </c>
      <c r="U108" s="0" t="n">
        <v>-1</v>
      </c>
      <c r="V108" s="0" t="s">
        <v>46</v>
      </c>
      <c r="W108" s="0" t="s">
        <v>46</v>
      </c>
      <c r="X108" s="0" t="s">
        <v>46</v>
      </c>
      <c r="Y108" s="0" t="s">
        <v>46</v>
      </c>
      <c r="Z108" s="0" t="s">
        <v>46</v>
      </c>
      <c r="AA108" s="0" t="s">
        <v>46</v>
      </c>
      <c r="AB108" s="0" t="s">
        <v>46</v>
      </c>
      <c r="AC108" s="0" t="s">
        <v>50</v>
      </c>
      <c r="AD108" s="0" t="s">
        <v>385</v>
      </c>
      <c r="AE108" s="0" t="s">
        <v>803</v>
      </c>
      <c r="AF108" s="0" t="s">
        <v>804</v>
      </c>
      <c r="AG108" s="0" t="s">
        <v>805</v>
      </c>
      <c r="AH108" s="0" t="s">
        <v>46</v>
      </c>
      <c r="AI108" s="0" t="s">
        <v>46</v>
      </c>
      <c r="AJ108" s="0" t="s">
        <v>46</v>
      </c>
      <c r="AK108" s="0" t="s">
        <v>46</v>
      </c>
      <c r="AL108" s="0" t="s">
        <v>46</v>
      </c>
    </row>
    <row r="109" customFormat="false" ht="15" hidden="false" customHeight="false" outlineLevel="0" collapsed="false">
      <c r="B109" s="0" t="str">
        <f aca="false">HYPERLINK("https://genome.ucsc.edu/cgi-bin/hgTracks?db=hg19&amp;position=chr11%3A1478166%2D1478166", "chr11:1478166")</f>
        <v>chr11:1478166</v>
      </c>
      <c r="C109" s="0" t="s">
        <v>389</v>
      </c>
      <c r="D109" s="0" t="n">
        <v>1478166</v>
      </c>
      <c r="E109" s="0" t="n">
        <v>1478166</v>
      </c>
      <c r="F109" s="0" t="s">
        <v>40</v>
      </c>
      <c r="G109" s="0" t="s">
        <v>82</v>
      </c>
      <c r="H109" s="0" t="s">
        <v>815</v>
      </c>
      <c r="I109" s="0" t="s">
        <v>816</v>
      </c>
      <c r="J109" s="0" t="s">
        <v>817</v>
      </c>
      <c r="K109" s="0" t="s">
        <v>46</v>
      </c>
      <c r="L109" s="0" t="str">
        <f aca="false">HYPERLINK("https://www.ncbi.nlm.nih.gov/snp/rs779437608", "rs779437608")</f>
        <v>rs779437608</v>
      </c>
      <c r="M109" s="0" t="str">
        <f aca="false">HYPERLINK("https://www.genecards.org/Search/Keyword?queryString=%5Baliases%5D(%20BRSK2%20)&amp;keywords=BRSK2", "BRSK2")</f>
        <v>BRSK2</v>
      </c>
      <c r="N109" s="0" t="s">
        <v>45</v>
      </c>
      <c r="O109" s="0" t="s">
        <v>46</v>
      </c>
      <c r="P109" s="0" t="s">
        <v>46</v>
      </c>
      <c r="Q109" s="0" t="n">
        <v>0.0013</v>
      </c>
      <c r="R109" s="0" t="n">
        <v>0.0013</v>
      </c>
      <c r="S109" s="0" t="n">
        <v>0.0013</v>
      </c>
      <c r="T109" s="0" t="n">
        <v>-1</v>
      </c>
      <c r="U109" s="0" t="n">
        <v>0.0022</v>
      </c>
      <c r="V109" s="0" t="s">
        <v>46</v>
      </c>
      <c r="W109" s="0" t="s">
        <v>46</v>
      </c>
      <c r="X109" s="0" t="s">
        <v>354</v>
      </c>
      <c r="Y109" s="0" t="s">
        <v>48</v>
      </c>
      <c r="Z109" s="0" t="s">
        <v>46</v>
      </c>
      <c r="AA109" s="0" t="s">
        <v>46</v>
      </c>
      <c r="AB109" s="0" t="s">
        <v>46</v>
      </c>
      <c r="AC109" s="0" t="s">
        <v>50</v>
      </c>
      <c r="AD109" s="0" t="s">
        <v>51</v>
      </c>
      <c r="AE109" s="0" t="s">
        <v>818</v>
      </c>
      <c r="AF109" s="0" t="s">
        <v>819</v>
      </c>
      <c r="AG109" s="0" t="s">
        <v>820</v>
      </c>
      <c r="AH109" s="0" t="s">
        <v>46</v>
      </c>
      <c r="AI109" s="0" t="s">
        <v>46</v>
      </c>
      <c r="AJ109" s="0" t="s">
        <v>46</v>
      </c>
      <c r="AK109" s="0" t="s">
        <v>46</v>
      </c>
      <c r="AL109" s="0" t="s">
        <v>46</v>
      </c>
    </row>
    <row r="110" customFormat="false" ht="15" hidden="false" customHeight="false" outlineLevel="0" collapsed="false">
      <c r="B110" s="0" t="str">
        <f aca="false">HYPERLINK("https://genome.ucsc.edu/cgi-bin/hgTracks?db=hg19&amp;position=chr11%3A3784291%2D3784291", "chr11:3784291")</f>
        <v>chr11:3784291</v>
      </c>
      <c r="C110" s="0" t="s">
        <v>389</v>
      </c>
      <c r="D110" s="0" t="n">
        <v>3784291</v>
      </c>
      <c r="E110" s="0" t="n">
        <v>3784291</v>
      </c>
      <c r="F110" s="0" t="s">
        <v>82</v>
      </c>
      <c r="G110" s="0" t="s">
        <v>40</v>
      </c>
      <c r="H110" s="0" t="s">
        <v>821</v>
      </c>
      <c r="I110" s="0" t="s">
        <v>216</v>
      </c>
      <c r="J110" s="0" t="s">
        <v>822</v>
      </c>
      <c r="K110" s="0" t="s">
        <v>46</v>
      </c>
      <c r="L110" s="0" t="str">
        <f aca="false">HYPERLINK("https://www.ncbi.nlm.nih.gov/snp/rs761733888", "rs761733888")</f>
        <v>rs761733888</v>
      </c>
      <c r="M110" s="0" t="str">
        <f aca="false">HYPERLINK("https://www.genecards.org/Search/Keyword?queryString=%5Baliases%5D(%20NUP98%20)&amp;keywords=NUP98", "NUP98")</f>
        <v>NUP98</v>
      </c>
      <c r="N110" s="0" t="s">
        <v>45</v>
      </c>
      <c r="O110" s="0" t="s">
        <v>46</v>
      </c>
      <c r="P110" s="0" t="s">
        <v>46</v>
      </c>
      <c r="Q110" s="0" t="n">
        <v>6.5E-006</v>
      </c>
      <c r="R110" s="0" t="n">
        <v>-1</v>
      </c>
      <c r="S110" s="0" t="n">
        <v>-1</v>
      </c>
      <c r="T110" s="0" t="n">
        <v>-1</v>
      </c>
      <c r="U110" s="0" t="n">
        <v>-1</v>
      </c>
      <c r="V110" s="0" t="s">
        <v>46</v>
      </c>
      <c r="W110" s="0" t="s">
        <v>46</v>
      </c>
      <c r="X110" s="0" t="s">
        <v>47</v>
      </c>
      <c r="Y110" s="0" t="s">
        <v>48</v>
      </c>
      <c r="Z110" s="0" t="s">
        <v>46</v>
      </c>
      <c r="AA110" s="0" t="s">
        <v>46</v>
      </c>
      <c r="AB110" s="0" t="s">
        <v>46</v>
      </c>
      <c r="AC110" s="0" t="s">
        <v>50</v>
      </c>
      <c r="AD110" s="0" t="s">
        <v>51</v>
      </c>
      <c r="AE110" s="0" t="s">
        <v>823</v>
      </c>
      <c r="AF110" s="0" t="s">
        <v>824</v>
      </c>
      <c r="AG110" s="0" t="s">
        <v>825</v>
      </c>
      <c r="AH110" s="0" t="s">
        <v>826</v>
      </c>
      <c r="AI110" s="0" t="s">
        <v>46</v>
      </c>
      <c r="AJ110" s="0" t="s">
        <v>46</v>
      </c>
      <c r="AK110" s="0" t="s">
        <v>46</v>
      </c>
      <c r="AL110" s="0" t="s">
        <v>46</v>
      </c>
    </row>
    <row r="111" customFormat="false" ht="15" hidden="false" customHeight="false" outlineLevel="0" collapsed="false">
      <c r="B111" s="0" t="str">
        <f aca="false">HYPERLINK("https://genome.ucsc.edu/cgi-bin/hgTracks?db=hg19&amp;position=chr11%3A5173236%2D5173236", "chr11:5173236")</f>
        <v>chr11:5173236</v>
      </c>
      <c r="C111" s="0" t="s">
        <v>389</v>
      </c>
      <c r="D111" s="0" t="n">
        <v>5173236</v>
      </c>
      <c r="E111" s="0" t="n">
        <v>5173236</v>
      </c>
      <c r="F111" s="0" t="s">
        <v>39</v>
      </c>
      <c r="G111" s="0" t="s">
        <v>185</v>
      </c>
      <c r="H111" s="0" t="s">
        <v>827</v>
      </c>
      <c r="I111" s="0" t="s">
        <v>828</v>
      </c>
      <c r="J111" s="0" t="s">
        <v>829</v>
      </c>
      <c r="K111" s="0" t="s">
        <v>46</v>
      </c>
      <c r="L111" s="0" t="s">
        <v>46</v>
      </c>
      <c r="M111" s="0" t="str">
        <f aca="false">HYPERLINK("https://www.genecards.org/Search/Keyword?queryString=%5Baliases%5D(%20OR52A1%20)&amp;keywords=OR52A1", "OR52A1")</f>
        <v>OR52A1</v>
      </c>
      <c r="N111" s="0" t="s">
        <v>62</v>
      </c>
      <c r="O111" s="0" t="s">
        <v>262</v>
      </c>
      <c r="P111" s="0" t="s">
        <v>830</v>
      </c>
      <c r="Q111" s="0" t="n">
        <v>-1</v>
      </c>
      <c r="R111" s="0" t="n">
        <v>-1</v>
      </c>
      <c r="S111" s="0" t="n">
        <v>-1</v>
      </c>
      <c r="T111" s="0" t="n">
        <v>-1</v>
      </c>
      <c r="U111" s="0" t="n">
        <v>-1</v>
      </c>
      <c r="V111" s="0" t="s">
        <v>46</v>
      </c>
      <c r="W111" s="0" t="s">
        <v>46</v>
      </c>
      <c r="X111" s="0" t="s">
        <v>46</v>
      </c>
      <c r="Y111" s="0" t="s">
        <v>46</v>
      </c>
      <c r="Z111" s="0" t="s">
        <v>46</v>
      </c>
      <c r="AA111" s="0" t="s">
        <v>46</v>
      </c>
      <c r="AB111" s="0" t="s">
        <v>46</v>
      </c>
      <c r="AC111" s="0" t="s">
        <v>50</v>
      </c>
      <c r="AD111" s="0" t="s">
        <v>51</v>
      </c>
      <c r="AE111" s="0" t="s">
        <v>831</v>
      </c>
      <c r="AF111" s="0" t="s">
        <v>832</v>
      </c>
      <c r="AG111" s="0" t="s">
        <v>718</v>
      </c>
      <c r="AH111" s="0" t="s">
        <v>46</v>
      </c>
      <c r="AI111" s="0" t="s">
        <v>46</v>
      </c>
      <c r="AJ111" s="0" t="s">
        <v>46</v>
      </c>
      <c r="AK111" s="0" t="s">
        <v>46</v>
      </c>
      <c r="AL111" s="0" t="s">
        <v>46</v>
      </c>
    </row>
    <row r="112" customFormat="false" ht="15" hidden="false" customHeight="false" outlineLevel="0" collapsed="false">
      <c r="B112" s="0" t="str">
        <f aca="false">HYPERLINK("https://genome.ucsc.edu/cgi-bin/hgTracks?db=hg19&amp;position=chr11%3A17457720%2D17457720", "chr11:17457720")</f>
        <v>chr11:17457720</v>
      </c>
      <c r="C112" s="0" t="s">
        <v>389</v>
      </c>
      <c r="D112" s="0" t="n">
        <v>17457720</v>
      </c>
      <c r="E112" s="0" t="n">
        <v>17457720</v>
      </c>
      <c r="F112" s="0" t="s">
        <v>40</v>
      </c>
      <c r="G112" s="0" t="s">
        <v>82</v>
      </c>
      <c r="H112" s="0" t="s">
        <v>833</v>
      </c>
      <c r="I112" s="0" t="s">
        <v>631</v>
      </c>
      <c r="J112" s="0" t="s">
        <v>834</v>
      </c>
      <c r="K112" s="0" t="s">
        <v>46</v>
      </c>
      <c r="L112" s="0" t="s">
        <v>46</v>
      </c>
      <c r="M112" s="0" t="str">
        <f aca="false">HYPERLINK("https://www.genecards.org/Search/Keyword?queryString=%5Baliases%5D(%20ABCC8%20)&amp;keywords=ABCC8", "ABCC8")</f>
        <v>ABCC8</v>
      </c>
      <c r="N112" s="0" t="s">
        <v>704</v>
      </c>
      <c r="O112" s="0" t="s">
        <v>46</v>
      </c>
      <c r="P112" s="0" t="s">
        <v>46</v>
      </c>
      <c r="Q112" s="0" t="n">
        <v>0.0276</v>
      </c>
      <c r="R112" s="0" t="n">
        <v>0.001</v>
      </c>
      <c r="S112" s="0" t="n">
        <v>0.0009</v>
      </c>
      <c r="T112" s="0" t="n">
        <v>-1</v>
      </c>
      <c r="U112" s="0" t="n">
        <v>-1</v>
      </c>
      <c r="V112" s="0" t="s">
        <v>46</v>
      </c>
      <c r="W112" s="0" t="s">
        <v>46</v>
      </c>
      <c r="X112" s="0" t="s">
        <v>46</v>
      </c>
      <c r="Y112" s="0" t="s">
        <v>46</v>
      </c>
      <c r="Z112" s="0" t="s">
        <v>46</v>
      </c>
      <c r="AA112" s="0" t="s">
        <v>46</v>
      </c>
      <c r="AB112" s="0" t="s">
        <v>46</v>
      </c>
      <c r="AC112" s="0" t="s">
        <v>50</v>
      </c>
      <c r="AD112" s="0" t="s">
        <v>147</v>
      </c>
      <c r="AE112" s="0" t="s">
        <v>835</v>
      </c>
      <c r="AF112" s="0" t="s">
        <v>836</v>
      </c>
      <c r="AG112" s="0" t="s">
        <v>837</v>
      </c>
      <c r="AH112" s="0" t="s">
        <v>838</v>
      </c>
      <c r="AI112" s="0" t="s">
        <v>46</v>
      </c>
      <c r="AJ112" s="0" t="s">
        <v>46</v>
      </c>
      <c r="AK112" s="0" t="s">
        <v>46</v>
      </c>
      <c r="AL112" s="0" t="s">
        <v>46</v>
      </c>
    </row>
    <row r="113" customFormat="false" ht="15" hidden="false" customHeight="false" outlineLevel="0" collapsed="false">
      <c r="B113" s="0" t="str">
        <f aca="false">HYPERLINK("https://genome.ucsc.edu/cgi-bin/hgTracks?db=hg19&amp;position=chr11%3A17457721%2D17457721", "chr11:17457721")</f>
        <v>chr11:17457721</v>
      </c>
      <c r="C113" s="0" t="s">
        <v>389</v>
      </c>
      <c r="D113" s="0" t="n">
        <v>17457721</v>
      </c>
      <c r="E113" s="0" t="n">
        <v>17457721</v>
      </c>
      <c r="F113" s="0" t="s">
        <v>57</v>
      </c>
      <c r="G113" s="0" t="s">
        <v>39</v>
      </c>
      <c r="H113" s="0" t="s">
        <v>833</v>
      </c>
      <c r="I113" s="0" t="s">
        <v>631</v>
      </c>
      <c r="J113" s="0" t="s">
        <v>834</v>
      </c>
      <c r="K113" s="0" t="s">
        <v>46</v>
      </c>
      <c r="L113" s="0" t="s">
        <v>46</v>
      </c>
      <c r="M113" s="0" t="str">
        <f aca="false">HYPERLINK("https://www.genecards.org/Search/Keyword?queryString=%5Baliases%5D(%20ABCC8%20)&amp;keywords=ABCC8", "ABCC8")</f>
        <v>ABCC8</v>
      </c>
      <c r="N113" s="0" t="s">
        <v>704</v>
      </c>
      <c r="O113" s="0" t="s">
        <v>46</v>
      </c>
      <c r="P113" s="0" t="s">
        <v>46</v>
      </c>
      <c r="Q113" s="0" t="n">
        <v>0.0265</v>
      </c>
      <c r="R113" s="0" t="n">
        <v>0.0002</v>
      </c>
      <c r="S113" s="0" t="n">
        <v>8.712E-005</v>
      </c>
      <c r="T113" s="0" t="n">
        <v>-1</v>
      </c>
      <c r="U113" s="0" t="n">
        <v>-1</v>
      </c>
      <c r="V113" s="0" t="s">
        <v>46</v>
      </c>
      <c r="W113" s="0" t="s">
        <v>46</v>
      </c>
      <c r="X113" s="0" t="s">
        <v>46</v>
      </c>
      <c r="Y113" s="0" t="s">
        <v>46</v>
      </c>
      <c r="Z113" s="0" t="s">
        <v>46</v>
      </c>
      <c r="AA113" s="0" t="s">
        <v>46</v>
      </c>
      <c r="AB113" s="0" t="s">
        <v>46</v>
      </c>
      <c r="AC113" s="0" t="s">
        <v>50</v>
      </c>
      <c r="AD113" s="0" t="s">
        <v>147</v>
      </c>
      <c r="AE113" s="0" t="s">
        <v>835</v>
      </c>
      <c r="AF113" s="0" t="s">
        <v>836</v>
      </c>
      <c r="AG113" s="0" t="s">
        <v>837</v>
      </c>
      <c r="AH113" s="0" t="s">
        <v>838</v>
      </c>
      <c r="AI113" s="0" t="s">
        <v>46</v>
      </c>
      <c r="AJ113" s="0" t="s">
        <v>46</v>
      </c>
      <c r="AK113" s="0" t="s">
        <v>46</v>
      </c>
      <c r="AL113" s="0" t="s">
        <v>46</v>
      </c>
    </row>
    <row r="114" customFormat="false" ht="15" hidden="false" customHeight="false" outlineLevel="0" collapsed="false">
      <c r="B114" s="0" t="str">
        <f aca="false">HYPERLINK("https://genome.ucsc.edu/cgi-bin/hgTracks?db=hg19&amp;position=chr11%3A45926421%2D45926421", "chr11:45926421")</f>
        <v>chr11:45926421</v>
      </c>
      <c r="C114" s="0" t="s">
        <v>389</v>
      </c>
      <c r="D114" s="0" t="n">
        <v>45926421</v>
      </c>
      <c r="E114" s="0" t="n">
        <v>45926421</v>
      </c>
      <c r="F114" s="0" t="s">
        <v>40</v>
      </c>
      <c r="G114" s="0" t="s">
        <v>57</v>
      </c>
      <c r="H114" s="0" t="s">
        <v>839</v>
      </c>
      <c r="I114" s="0" t="s">
        <v>840</v>
      </c>
      <c r="J114" s="0" t="s">
        <v>841</v>
      </c>
      <c r="K114" s="0" t="s">
        <v>46</v>
      </c>
      <c r="L114" s="0" t="s">
        <v>46</v>
      </c>
      <c r="M114" s="0" t="str">
        <f aca="false">HYPERLINK("https://www.genecards.org/Search/Keyword?queryString=%5Baliases%5D(%20MAPK8IP1%20)&amp;keywords=MAPK8IP1", "MAPK8IP1")</f>
        <v>MAPK8IP1</v>
      </c>
      <c r="N114" s="0" t="s">
        <v>45</v>
      </c>
      <c r="O114" s="0" t="s">
        <v>46</v>
      </c>
      <c r="P114" s="0" t="s">
        <v>46</v>
      </c>
      <c r="Q114" s="0" t="n">
        <v>-1</v>
      </c>
      <c r="R114" s="0" t="n">
        <v>-1</v>
      </c>
      <c r="S114" s="0" t="n">
        <v>-1</v>
      </c>
      <c r="T114" s="0" t="n">
        <v>-1</v>
      </c>
      <c r="U114" s="0" t="n">
        <v>-1</v>
      </c>
      <c r="V114" s="0" t="s">
        <v>46</v>
      </c>
      <c r="W114" s="0" t="s">
        <v>46</v>
      </c>
      <c r="X114" s="0" t="s">
        <v>354</v>
      </c>
      <c r="Y114" s="0" t="s">
        <v>48</v>
      </c>
      <c r="Z114" s="0" t="s">
        <v>46</v>
      </c>
      <c r="AA114" s="0" t="s">
        <v>46</v>
      </c>
      <c r="AB114" s="0" t="s">
        <v>46</v>
      </c>
      <c r="AC114" s="0" t="s">
        <v>50</v>
      </c>
      <c r="AD114" s="0" t="s">
        <v>51</v>
      </c>
      <c r="AE114" s="0" t="s">
        <v>842</v>
      </c>
      <c r="AF114" s="0" t="s">
        <v>843</v>
      </c>
      <c r="AG114" s="0" t="s">
        <v>844</v>
      </c>
      <c r="AH114" s="0" t="s">
        <v>845</v>
      </c>
      <c r="AI114" s="0" t="s">
        <v>46</v>
      </c>
      <c r="AJ114" s="0" t="s">
        <v>46</v>
      </c>
      <c r="AK114" s="0" t="s">
        <v>46</v>
      </c>
      <c r="AL114" s="0" t="s">
        <v>46</v>
      </c>
    </row>
    <row r="115" customFormat="false" ht="15" hidden="false" customHeight="false" outlineLevel="0" collapsed="false">
      <c r="B115" s="0" t="str">
        <f aca="false">HYPERLINK("https://genome.ucsc.edu/cgi-bin/hgTracks?db=hg19&amp;position=chr11%3A62559262%2D62559262", "chr11:62559262")</f>
        <v>chr11:62559262</v>
      </c>
      <c r="C115" s="0" t="s">
        <v>389</v>
      </c>
      <c r="D115" s="0" t="n">
        <v>62559262</v>
      </c>
      <c r="E115" s="0" t="n">
        <v>62559262</v>
      </c>
      <c r="F115" s="0" t="s">
        <v>39</v>
      </c>
      <c r="G115" s="0" t="s">
        <v>185</v>
      </c>
      <c r="H115" s="0" t="s">
        <v>846</v>
      </c>
      <c r="I115" s="0" t="s">
        <v>847</v>
      </c>
      <c r="J115" s="0" t="s">
        <v>848</v>
      </c>
      <c r="K115" s="0" t="s">
        <v>46</v>
      </c>
      <c r="L115" s="0" t="str">
        <f aca="false">HYPERLINK("https://www.ncbi.nlm.nih.gov/snp/rs775143077", "rs775143077")</f>
        <v>rs775143077</v>
      </c>
      <c r="M115" s="0" t="str">
        <f aca="false">HYPERLINK("https://www.genecards.org/Search/Keyword?queryString=%5Baliases%5D(%20TMEM223%20)&amp;keywords=TMEM223", "TMEM223")</f>
        <v>TMEM223</v>
      </c>
      <c r="N115" s="0" t="s">
        <v>62</v>
      </c>
      <c r="O115" s="0" t="s">
        <v>262</v>
      </c>
      <c r="P115" s="0" t="s">
        <v>849</v>
      </c>
      <c r="Q115" s="0" t="n">
        <v>7.178E-005</v>
      </c>
      <c r="R115" s="0" t="n">
        <v>9.019E-005</v>
      </c>
      <c r="S115" s="0" t="n">
        <v>7.342E-005</v>
      </c>
      <c r="T115" s="0" t="n">
        <v>-1</v>
      </c>
      <c r="U115" s="0" t="n">
        <v>0.0002</v>
      </c>
      <c r="V115" s="0" t="s">
        <v>46</v>
      </c>
      <c r="W115" s="0" t="s">
        <v>46</v>
      </c>
      <c r="X115" s="0" t="s">
        <v>46</v>
      </c>
      <c r="Y115" s="0" t="s">
        <v>46</v>
      </c>
      <c r="Z115" s="0" t="s">
        <v>46</v>
      </c>
      <c r="AA115" s="0" t="s">
        <v>46</v>
      </c>
      <c r="AB115" s="0" t="s">
        <v>46</v>
      </c>
      <c r="AC115" s="0" t="s">
        <v>50</v>
      </c>
      <c r="AD115" s="0" t="s">
        <v>51</v>
      </c>
      <c r="AE115" s="0" t="s">
        <v>850</v>
      </c>
      <c r="AF115" s="0" t="s">
        <v>851</v>
      </c>
      <c r="AG115" s="0" t="s">
        <v>46</v>
      </c>
      <c r="AH115" s="0" t="s">
        <v>46</v>
      </c>
      <c r="AI115" s="0" t="s">
        <v>46</v>
      </c>
      <c r="AJ115" s="0" t="s">
        <v>46</v>
      </c>
      <c r="AK115" s="0" t="s">
        <v>46</v>
      </c>
      <c r="AL115" s="0" t="s">
        <v>46</v>
      </c>
    </row>
    <row r="116" customFormat="false" ht="15" hidden="false" customHeight="false" outlineLevel="0" collapsed="false">
      <c r="B116" s="0" t="str">
        <f aca="false">HYPERLINK("https://genome.ucsc.edu/cgi-bin/hgTracks?db=hg19&amp;position=chr11%3A66063100%2D66063100", "chr11:66063100")</f>
        <v>chr11:66063100</v>
      </c>
      <c r="C116" s="0" t="s">
        <v>389</v>
      </c>
      <c r="D116" s="0" t="n">
        <v>66063100</v>
      </c>
      <c r="E116" s="0" t="n">
        <v>66063100</v>
      </c>
      <c r="F116" s="0" t="s">
        <v>39</v>
      </c>
      <c r="G116" s="0" t="s">
        <v>185</v>
      </c>
      <c r="H116" s="0" t="s">
        <v>852</v>
      </c>
      <c r="I116" s="0" t="s">
        <v>853</v>
      </c>
      <c r="J116" s="0" t="s">
        <v>854</v>
      </c>
      <c r="K116" s="0" t="s">
        <v>46</v>
      </c>
      <c r="L116" s="0" t="s">
        <v>46</v>
      </c>
      <c r="M116" s="0" t="str">
        <f aca="false">HYPERLINK("https://www.genecards.org/Search/Keyword?queryString=%5Baliases%5D(%20TMEM151A%20)&amp;keywords=TMEM151A", "TMEM151A")</f>
        <v>TMEM151A</v>
      </c>
      <c r="N116" s="0" t="s">
        <v>62</v>
      </c>
      <c r="O116" s="0" t="s">
        <v>262</v>
      </c>
      <c r="P116" s="0" t="s">
        <v>855</v>
      </c>
      <c r="Q116" s="0" t="n">
        <v>-1</v>
      </c>
      <c r="R116" s="0" t="n">
        <v>-1</v>
      </c>
      <c r="S116" s="0" t="n">
        <v>-1</v>
      </c>
      <c r="T116" s="0" t="n">
        <v>-1</v>
      </c>
      <c r="U116" s="0" t="n">
        <v>-1</v>
      </c>
      <c r="V116" s="0" t="s">
        <v>46</v>
      </c>
      <c r="W116" s="0" t="s">
        <v>46</v>
      </c>
      <c r="X116" s="0" t="s">
        <v>46</v>
      </c>
      <c r="Y116" s="0" t="s">
        <v>46</v>
      </c>
      <c r="Z116" s="0" t="s">
        <v>46</v>
      </c>
      <c r="AA116" s="0" t="s">
        <v>46</v>
      </c>
      <c r="AB116" s="0" t="s">
        <v>46</v>
      </c>
      <c r="AC116" s="0" t="s">
        <v>50</v>
      </c>
      <c r="AD116" s="0" t="s">
        <v>51</v>
      </c>
      <c r="AE116" s="0" t="s">
        <v>856</v>
      </c>
      <c r="AF116" s="0" t="s">
        <v>857</v>
      </c>
      <c r="AG116" s="0" t="s">
        <v>46</v>
      </c>
      <c r="AH116" s="0" t="s">
        <v>46</v>
      </c>
      <c r="AI116" s="0" t="s">
        <v>46</v>
      </c>
      <c r="AJ116" s="0" t="s">
        <v>46</v>
      </c>
      <c r="AK116" s="0" t="s">
        <v>46</v>
      </c>
      <c r="AL116" s="0" t="s">
        <v>46</v>
      </c>
    </row>
    <row r="117" customFormat="false" ht="15" hidden="false" customHeight="false" outlineLevel="0" collapsed="false">
      <c r="B117" s="0" t="str">
        <f aca="false">HYPERLINK("https://genome.ucsc.edu/cgi-bin/hgTracks?db=hg19&amp;position=chr11%3A67219068%2D67219068", "chr11:67219068")</f>
        <v>chr11:67219068</v>
      </c>
      <c r="C117" s="0" t="s">
        <v>389</v>
      </c>
      <c r="D117" s="0" t="n">
        <v>67219068</v>
      </c>
      <c r="E117" s="0" t="n">
        <v>67219068</v>
      </c>
      <c r="F117" s="0" t="s">
        <v>185</v>
      </c>
      <c r="G117" s="0" t="s">
        <v>858</v>
      </c>
      <c r="H117" s="0" t="s">
        <v>859</v>
      </c>
      <c r="I117" s="0" t="s">
        <v>524</v>
      </c>
      <c r="J117" s="0" t="s">
        <v>860</v>
      </c>
      <c r="K117" s="0" t="s">
        <v>46</v>
      </c>
      <c r="L117" s="0" t="str">
        <f aca="false">HYPERLINK("https://www.ncbi.nlm.nih.gov/snp/rs745593287", "rs745593287")</f>
        <v>rs745593287</v>
      </c>
      <c r="M117" s="0" t="str">
        <f aca="false">HYPERLINK("https://www.genecards.org/Search/Keyword?queryString=%5Baliases%5D(%20GPR152%20)&amp;keywords=GPR152", "GPR152")</f>
        <v>GPR152</v>
      </c>
      <c r="N117" s="0" t="s">
        <v>62</v>
      </c>
      <c r="O117" s="0" t="s">
        <v>76</v>
      </c>
      <c r="P117" s="0" t="s">
        <v>861</v>
      </c>
      <c r="Q117" s="0" t="n">
        <v>0.0052</v>
      </c>
      <c r="R117" s="0" t="n">
        <v>0.002</v>
      </c>
      <c r="S117" s="0" t="n">
        <v>0.0018</v>
      </c>
      <c r="T117" s="0" t="n">
        <v>-1</v>
      </c>
      <c r="U117" s="0" t="n">
        <v>0.0033</v>
      </c>
      <c r="V117" s="0" t="s">
        <v>46</v>
      </c>
      <c r="W117" s="0" t="s">
        <v>46</v>
      </c>
      <c r="X117" s="0" t="s">
        <v>46</v>
      </c>
      <c r="Y117" s="0" t="s">
        <v>46</v>
      </c>
      <c r="Z117" s="0" t="s">
        <v>46</v>
      </c>
      <c r="AA117" s="0" t="s">
        <v>46</v>
      </c>
      <c r="AB117" s="0" t="s">
        <v>46</v>
      </c>
      <c r="AC117" s="0" t="s">
        <v>50</v>
      </c>
      <c r="AD117" s="0" t="s">
        <v>51</v>
      </c>
      <c r="AE117" s="0" t="s">
        <v>862</v>
      </c>
      <c r="AF117" s="0" t="s">
        <v>863</v>
      </c>
      <c r="AG117" s="0" t="s">
        <v>864</v>
      </c>
      <c r="AH117" s="0" t="s">
        <v>46</v>
      </c>
      <c r="AI117" s="0" t="s">
        <v>46</v>
      </c>
      <c r="AJ117" s="0" t="s">
        <v>46</v>
      </c>
      <c r="AK117" s="0" t="s">
        <v>46</v>
      </c>
      <c r="AL117" s="0" t="s">
        <v>46</v>
      </c>
    </row>
    <row r="118" customFormat="false" ht="15" hidden="false" customHeight="false" outlineLevel="0" collapsed="false">
      <c r="B118" s="0" t="str">
        <f aca="false">HYPERLINK("https://genome.ucsc.edu/cgi-bin/hgTracks?db=hg19&amp;position=chr11%3A67254350%2D67254350", "chr11:67254350")</f>
        <v>chr11:67254350</v>
      </c>
      <c r="C118" s="0" t="s">
        <v>389</v>
      </c>
      <c r="D118" s="0" t="n">
        <v>67254350</v>
      </c>
      <c r="E118" s="0" t="n">
        <v>67254350</v>
      </c>
      <c r="F118" s="0" t="s">
        <v>39</v>
      </c>
      <c r="G118" s="0" t="s">
        <v>57</v>
      </c>
      <c r="H118" s="0" t="s">
        <v>865</v>
      </c>
      <c r="I118" s="0" t="s">
        <v>278</v>
      </c>
      <c r="J118" s="0" t="s">
        <v>866</v>
      </c>
      <c r="K118" s="0" t="s">
        <v>46</v>
      </c>
      <c r="L118" s="0" t="str">
        <f aca="false">HYPERLINK("https://www.ncbi.nlm.nih.gov/snp/rs188172321", "rs188172321")</f>
        <v>rs188172321</v>
      </c>
      <c r="M118" s="0" t="str">
        <f aca="false">HYPERLINK("https://www.genecards.org/Search/Keyword?queryString=%5Baliases%5D(%20AIP%20)&amp;keywords=AIP", "AIP")</f>
        <v>AIP</v>
      </c>
      <c r="N118" s="0" t="s">
        <v>45</v>
      </c>
      <c r="O118" s="0" t="s">
        <v>46</v>
      </c>
      <c r="P118" s="0" t="s">
        <v>46</v>
      </c>
      <c r="Q118" s="0" t="n">
        <v>0.0086</v>
      </c>
      <c r="R118" s="0" t="n">
        <v>0.0062</v>
      </c>
      <c r="S118" s="0" t="n">
        <v>0.0054</v>
      </c>
      <c r="T118" s="0" t="n">
        <v>-1</v>
      </c>
      <c r="U118" s="0" t="n">
        <v>0.0058</v>
      </c>
      <c r="V118" s="0" t="s">
        <v>46</v>
      </c>
      <c r="W118" s="0" t="s">
        <v>46</v>
      </c>
      <c r="X118" s="0" t="s">
        <v>354</v>
      </c>
      <c r="Y118" s="0" t="s">
        <v>48</v>
      </c>
      <c r="Z118" s="0" t="s">
        <v>46</v>
      </c>
      <c r="AA118" s="0" t="s">
        <v>46</v>
      </c>
      <c r="AB118" s="0" t="s">
        <v>46</v>
      </c>
      <c r="AC118" s="0" t="s">
        <v>50</v>
      </c>
      <c r="AD118" s="0" t="s">
        <v>51</v>
      </c>
      <c r="AE118" s="0" t="s">
        <v>867</v>
      </c>
      <c r="AF118" s="0" t="s">
        <v>868</v>
      </c>
      <c r="AG118" s="0" t="s">
        <v>869</v>
      </c>
      <c r="AH118" s="0" t="s">
        <v>870</v>
      </c>
      <c r="AI118" s="0" t="s">
        <v>46</v>
      </c>
      <c r="AJ118" s="0" t="s">
        <v>46</v>
      </c>
      <c r="AK118" s="0" t="s">
        <v>46</v>
      </c>
      <c r="AL118" s="0" t="s">
        <v>46</v>
      </c>
    </row>
    <row r="119" customFormat="false" ht="15" hidden="false" customHeight="false" outlineLevel="0" collapsed="false">
      <c r="B119" s="0" t="str">
        <f aca="false">HYPERLINK("https://genome.ucsc.edu/cgi-bin/hgTracks?db=hg19&amp;position=chr11%3A67818420%2D67818420", "chr11:67818420")</f>
        <v>chr11:67818420</v>
      </c>
      <c r="C119" s="0" t="s">
        <v>389</v>
      </c>
      <c r="D119" s="0" t="n">
        <v>67818420</v>
      </c>
      <c r="E119" s="0" t="n">
        <v>67818420</v>
      </c>
      <c r="F119" s="0" t="s">
        <v>40</v>
      </c>
      <c r="G119" s="0" t="s">
        <v>82</v>
      </c>
      <c r="H119" s="0" t="s">
        <v>871</v>
      </c>
      <c r="I119" s="0" t="s">
        <v>872</v>
      </c>
      <c r="J119" s="0" t="s">
        <v>873</v>
      </c>
      <c r="K119" s="0" t="s">
        <v>46</v>
      </c>
      <c r="L119" s="0" t="str">
        <f aca="false">HYPERLINK("https://www.ncbi.nlm.nih.gov/snp/rs1043610548", "rs1043610548")</f>
        <v>rs1043610548</v>
      </c>
      <c r="M119" s="0" t="s">
        <v>46</v>
      </c>
      <c r="N119" s="0" t="s">
        <v>874</v>
      </c>
      <c r="O119" s="0" t="s">
        <v>46</v>
      </c>
      <c r="P119" s="0" t="s">
        <v>875</v>
      </c>
      <c r="Q119" s="0" t="n">
        <v>0.0002</v>
      </c>
      <c r="R119" s="0" t="n">
        <v>0.0003</v>
      </c>
      <c r="S119" s="0" t="n">
        <v>0.0002</v>
      </c>
      <c r="T119" s="0" t="n">
        <v>-1</v>
      </c>
      <c r="U119" s="0" t="n">
        <v>0.0005</v>
      </c>
      <c r="V119" s="0" t="s">
        <v>46</v>
      </c>
      <c r="W119" s="0" t="s">
        <v>46</v>
      </c>
      <c r="X119" s="0" t="s">
        <v>354</v>
      </c>
      <c r="Y119" s="0" t="s">
        <v>48</v>
      </c>
      <c r="Z119" s="0" t="s">
        <v>46</v>
      </c>
      <c r="AA119" s="0" t="s">
        <v>46</v>
      </c>
      <c r="AB119" s="0" t="s">
        <v>46</v>
      </c>
      <c r="AC119" s="0" t="s">
        <v>50</v>
      </c>
      <c r="AD119" s="0" t="s">
        <v>210</v>
      </c>
      <c r="AE119" s="0" t="s">
        <v>46</v>
      </c>
      <c r="AF119" s="0" t="s">
        <v>46</v>
      </c>
      <c r="AG119" s="0" t="s">
        <v>46</v>
      </c>
      <c r="AH119" s="0" t="s">
        <v>46</v>
      </c>
      <c r="AI119" s="0" t="s">
        <v>46</v>
      </c>
      <c r="AJ119" s="0" t="s">
        <v>46</v>
      </c>
      <c r="AK119" s="0" t="s">
        <v>46</v>
      </c>
      <c r="AL119" s="0" t="s">
        <v>46</v>
      </c>
    </row>
    <row r="120" customFormat="false" ht="15" hidden="false" customHeight="false" outlineLevel="0" collapsed="false">
      <c r="B120" s="0" t="str">
        <f aca="false">HYPERLINK("https://genome.ucsc.edu/cgi-bin/hgTracks?db=hg19&amp;position=chr11%3A71901229%2D71901229", "chr11:71901229")</f>
        <v>chr11:71901229</v>
      </c>
      <c r="C120" s="0" t="s">
        <v>389</v>
      </c>
      <c r="D120" s="0" t="n">
        <v>71901229</v>
      </c>
      <c r="E120" s="0" t="n">
        <v>71901229</v>
      </c>
      <c r="F120" s="0" t="s">
        <v>40</v>
      </c>
      <c r="G120" s="0" t="s">
        <v>82</v>
      </c>
      <c r="H120" s="0" t="s">
        <v>876</v>
      </c>
      <c r="I120" s="0" t="s">
        <v>442</v>
      </c>
      <c r="J120" s="0" t="s">
        <v>877</v>
      </c>
      <c r="K120" s="0" t="s">
        <v>46</v>
      </c>
      <c r="L120" s="0" t="str">
        <f aca="false">HYPERLINK("https://www.ncbi.nlm.nih.gov/snp/rs183115377", "rs183115377")</f>
        <v>rs183115377</v>
      </c>
      <c r="M120" s="0" t="str">
        <f aca="false">HYPERLINK("https://www.genecards.org/Search/Keyword?queryString=%5Baliases%5D(%20FOLR1%20)&amp;keywords=FOLR1", "FOLR1")</f>
        <v>FOLR1</v>
      </c>
      <c r="N120" s="0" t="s">
        <v>306</v>
      </c>
      <c r="O120" s="0" t="s">
        <v>46</v>
      </c>
      <c r="P120" s="0" t="s">
        <v>46</v>
      </c>
      <c r="Q120" s="0" t="n">
        <v>0.0069</v>
      </c>
      <c r="R120" s="0" t="n">
        <v>0.0037</v>
      </c>
      <c r="S120" s="0" t="n">
        <v>0.0037</v>
      </c>
      <c r="T120" s="0" t="n">
        <v>-1</v>
      </c>
      <c r="U120" s="0" t="n">
        <v>0.0044</v>
      </c>
      <c r="V120" s="0" t="s">
        <v>46</v>
      </c>
      <c r="W120" s="0" t="s">
        <v>46</v>
      </c>
      <c r="X120" s="0" t="s">
        <v>46</v>
      </c>
      <c r="Y120" s="0" t="s">
        <v>46</v>
      </c>
      <c r="Z120" s="0" t="s">
        <v>46</v>
      </c>
      <c r="AA120" s="0" t="s">
        <v>46</v>
      </c>
      <c r="AB120" s="0" t="s">
        <v>46</v>
      </c>
      <c r="AC120" s="0" t="s">
        <v>50</v>
      </c>
      <c r="AD120" s="0" t="s">
        <v>51</v>
      </c>
      <c r="AE120" s="0" t="s">
        <v>878</v>
      </c>
      <c r="AF120" s="0" t="s">
        <v>879</v>
      </c>
      <c r="AG120" s="0" t="s">
        <v>880</v>
      </c>
      <c r="AH120" s="0" t="s">
        <v>881</v>
      </c>
      <c r="AI120" s="0" t="s">
        <v>46</v>
      </c>
      <c r="AJ120" s="0" t="s">
        <v>46</v>
      </c>
      <c r="AK120" s="0" t="s">
        <v>46</v>
      </c>
      <c r="AL120" s="0" t="s">
        <v>46</v>
      </c>
    </row>
    <row r="121" customFormat="false" ht="15" hidden="false" customHeight="false" outlineLevel="0" collapsed="false">
      <c r="B121" s="0" t="str">
        <f aca="false">HYPERLINK("https://genome.ucsc.edu/cgi-bin/hgTracks?db=hg19&amp;position=chr11%3A73915608%2D73915608", "chr11:73915608")</f>
        <v>chr11:73915608</v>
      </c>
      <c r="C121" s="0" t="s">
        <v>389</v>
      </c>
      <c r="D121" s="0" t="n">
        <v>73915608</v>
      </c>
      <c r="E121" s="0" t="n">
        <v>73915608</v>
      </c>
      <c r="F121" s="0" t="s">
        <v>40</v>
      </c>
      <c r="G121" s="0" t="s">
        <v>82</v>
      </c>
      <c r="H121" s="0" t="s">
        <v>882</v>
      </c>
      <c r="I121" s="0" t="s">
        <v>164</v>
      </c>
      <c r="J121" s="0" t="s">
        <v>883</v>
      </c>
      <c r="K121" s="0" t="s">
        <v>46</v>
      </c>
      <c r="L121" s="0" t="str">
        <f aca="false">HYPERLINK("https://www.ncbi.nlm.nih.gov/snp/rs958025742", "rs958025742")</f>
        <v>rs958025742</v>
      </c>
      <c r="M121" s="0" t="str">
        <f aca="false">HYPERLINK("https://www.genecards.org/Search/Keyword?queryString=%5Baliases%5D(%20PPME1%20)&amp;keywords=PPME1", "PPME1")</f>
        <v>PPME1</v>
      </c>
      <c r="N121" s="0" t="s">
        <v>45</v>
      </c>
      <c r="O121" s="0" t="s">
        <v>46</v>
      </c>
      <c r="P121" s="0" t="s">
        <v>46</v>
      </c>
      <c r="Q121" s="0" t="n">
        <v>0.0003</v>
      </c>
      <c r="R121" s="0" t="n">
        <v>0.0002</v>
      </c>
      <c r="S121" s="0" t="n">
        <v>0.0003</v>
      </c>
      <c r="T121" s="0" t="n">
        <v>-1</v>
      </c>
      <c r="U121" s="0" t="n">
        <v>0.0004</v>
      </c>
      <c r="V121" s="0" t="s">
        <v>46</v>
      </c>
      <c r="W121" s="0" t="s">
        <v>46</v>
      </c>
      <c r="X121" s="0" t="s">
        <v>354</v>
      </c>
      <c r="Y121" s="0" t="s">
        <v>48</v>
      </c>
      <c r="Z121" s="0" t="s">
        <v>46</v>
      </c>
      <c r="AA121" s="0" t="s">
        <v>46</v>
      </c>
      <c r="AB121" s="0" t="s">
        <v>46</v>
      </c>
      <c r="AC121" s="0" t="s">
        <v>50</v>
      </c>
      <c r="AD121" s="0" t="s">
        <v>51</v>
      </c>
      <c r="AE121" s="0" t="s">
        <v>884</v>
      </c>
      <c r="AF121" s="0" t="s">
        <v>885</v>
      </c>
      <c r="AG121" s="0" t="s">
        <v>886</v>
      </c>
      <c r="AH121" s="0" t="s">
        <v>46</v>
      </c>
      <c r="AI121" s="0" t="s">
        <v>46</v>
      </c>
      <c r="AJ121" s="0" t="s">
        <v>46</v>
      </c>
      <c r="AK121" s="0" t="s">
        <v>46</v>
      </c>
      <c r="AL121" s="0" t="s">
        <v>46</v>
      </c>
    </row>
    <row r="122" customFormat="false" ht="15" hidden="false" customHeight="false" outlineLevel="0" collapsed="false">
      <c r="B122" s="0" t="str">
        <f aca="false">HYPERLINK("https://genome.ucsc.edu/cgi-bin/hgTracks?db=hg19&amp;position=chr11%3A94910865%2D94910865", "chr11:94910865")</f>
        <v>chr11:94910865</v>
      </c>
      <c r="C122" s="0" t="s">
        <v>389</v>
      </c>
      <c r="D122" s="0" t="n">
        <v>94910865</v>
      </c>
      <c r="E122" s="0" t="n">
        <v>94910865</v>
      </c>
      <c r="F122" s="0" t="s">
        <v>82</v>
      </c>
      <c r="G122" s="0" t="s">
        <v>40</v>
      </c>
      <c r="H122" s="0" t="s">
        <v>887</v>
      </c>
      <c r="I122" s="0" t="s">
        <v>313</v>
      </c>
      <c r="J122" s="0" t="s">
        <v>888</v>
      </c>
      <c r="K122" s="0" t="s">
        <v>46</v>
      </c>
      <c r="L122" s="0" t="str">
        <f aca="false">HYPERLINK("https://www.ncbi.nlm.nih.gov/snp/rs146666544", "rs146666544")</f>
        <v>rs146666544</v>
      </c>
      <c r="M122" s="0" t="str">
        <f aca="false">HYPERLINK("https://www.genecards.org/Search/Keyword?queryString=%5Baliases%5D(%20SESN3%20)&amp;keywords=SESN3", "SESN3")</f>
        <v>SESN3</v>
      </c>
      <c r="N122" s="0" t="s">
        <v>306</v>
      </c>
      <c r="O122" s="0" t="s">
        <v>46</v>
      </c>
      <c r="P122" s="0" t="s">
        <v>46</v>
      </c>
      <c r="Q122" s="0" t="n">
        <v>0.0251</v>
      </c>
      <c r="R122" s="0" t="n">
        <v>0.0277</v>
      </c>
      <c r="S122" s="0" t="n">
        <v>0.0252</v>
      </c>
      <c r="T122" s="0" t="n">
        <v>-1</v>
      </c>
      <c r="U122" s="0" t="n">
        <v>0.0326</v>
      </c>
      <c r="V122" s="0" t="s">
        <v>46</v>
      </c>
      <c r="W122" s="0" t="s">
        <v>46</v>
      </c>
      <c r="X122" s="0" t="s">
        <v>354</v>
      </c>
      <c r="Y122" s="0" t="s">
        <v>48</v>
      </c>
      <c r="Z122" s="0" t="s">
        <v>46</v>
      </c>
      <c r="AA122" s="0" t="s">
        <v>46</v>
      </c>
      <c r="AB122" s="0" t="s">
        <v>46</v>
      </c>
      <c r="AC122" s="0" t="s">
        <v>50</v>
      </c>
      <c r="AD122" s="0" t="s">
        <v>51</v>
      </c>
      <c r="AE122" s="0" t="s">
        <v>889</v>
      </c>
      <c r="AF122" s="0" t="s">
        <v>890</v>
      </c>
      <c r="AG122" s="0" t="s">
        <v>46</v>
      </c>
      <c r="AH122" s="0" t="s">
        <v>46</v>
      </c>
      <c r="AI122" s="0" t="s">
        <v>46</v>
      </c>
      <c r="AJ122" s="0" t="s">
        <v>46</v>
      </c>
      <c r="AK122" s="0" t="s">
        <v>46</v>
      </c>
      <c r="AL122" s="0" t="s">
        <v>46</v>
      </c>
    </row>
    <row r="123" customFormat="false" ht="15" hidden="false" customHeight="false" outlineLevel="0" collapsed="false">
      <c r="B123" s="0" t="str">
        <f aca="false">HYPERLINK("https://genome.ucsc.edu/cgi-bin/hgTracks?db=hg19&amp;position=chr11%3A115069407%2D115069407", "chr11:115069407")</f>
        <v>chr11:115069407</v>
      </c>
      <c r="C123" s="0" t="s">
        <v>389</v>
      </c>
      <c r="D123" s="0" t="n">
        <v>115069407</v>
      </c>
      <c r="E123" s="0" t="n">
        <v>115069407</v>
      </c>
      <c r="F123" s="0" t="s">
        <v>39</v>
      </c>
      <c r="G123" s="0" t="s">
        <v>57</v>
      </c>
      <c r="H123" s="0" t="s">
        <v>891</v>
      </c>
      <c r="I123" s="0" t="s">
        <v>644</v>
      </c>
      <c r="J123" s="0" t="s">
        <v>892</v>
      </c>
      <c r="K123" s="0" t="s">
        <v>46</v>
      </c>
      <c r="L123" s="0" t="str">
        <f aca="false">HYPERLINK("https://www.ncbi.nlm.nih.gov/snp/rs75523154", "rs75523154")</f>
        <v>rs75523154</v>
      </c>
      <c r="M123" s="0" t="str">
        <f aca="false">HYPERLINK("https://www.genecards.org/Search/Keyword?queryString=%5Baliases%5D(%20CADM1%20)&amp;keywords=CADM1", "CADM1")</f>
        <v>CADM1</v>
      </c>
      <c r="N123" s="0" t="s">
        <v>45</v>
      </c>
      <c r="O123" s="0" t="s">
        <v>46</v>
      </c>
      <c r="P123" s="0" t="s">
        <v>46</v>
      </c>
      <c r="Q123" s="0" t="n">
        <v>0.0273</v>
      </c>
      <c r="R123" s="0" t="n">
        <v>0.0014</v>
      </c>
      <c r="S123" s="0" t="n">
        <v>0.001</v>
      </c>
      <c r="T123" s="0" t="n">
        <v>-1</v>
      </c>
      <c r="U123" s="0" t="n">
        <v>0.0025</v>
      </c>
      <c r="V123" s="0" t="s">
        <v>46</v>
      </c>
      <c r="W123" s="0" t="s">
        <v>46</v>
      </c>
      <c r="X123" s="0" t="s">
        <v>47</v>
      </c>
      <c r="Y123" s="0" t="s">
        <v>48</v>
      </c>
      <c r="Z123" s="0" t="s">
        <v>46</v>
      </c>
      <c r="AA123" s="0" t="s">
        <v>46</v>
      </c>
      <c r="AB123" s="0" t="s">
        <v>46</v>
      </c>
      <c r="AC123" s="0" t="s">
        <v>50</v>
      </c>
      <c r="AD123" s="0" t="s">
        <v>51</v>
      </c>
      <c r="AE123" s="0" t="s">
        <v>893</v>
      </c>
      <c r="AF123" s="0" t="s">
        <v>894</v>
      </c>
      <c r="AG123" s="0" t="s">
        <v>895</v>
      </c>
      <c r="AH123" s="0" t="s">
        <v>46</v>
      </c>
      <c r="AI123" s="0" t="s">
        <v>46</v>
      </c>
      <c r="AJ123" s="0" t="s">
        <v>46</v>
      </c>
      <c r="AK123" s="0" t="s">
        <v>46</v>
      </c>
      <c r="AL123" s="0" t="s">
        <v>46</v>
      </c>
    </row>
    <row r="124" customFormat="false" ht="15" hidden="false" customHeight="false" outlineLevel="0" collapsed="false">
      <c r="B124" s="0" t="str">
        <f aca="false">HYPERLINK("https://genome.ucsc.edu/cgi-bin/hgTracks?db=hg19&amp;position=chr11%3A125828487%2D125828487", "chr11:125828487")</f>
        <v>chr11:125828487</v>
      </c>
      <c r="C124" s="0" t="s">
        <v>389</v>
      </c>
      <c r="D124" s="0" t="n">
        <v>125828487</v>
      </c>
      <c r="E124" s="0" t="n">
        <v>125828487</v>
      </c>
      <c r="F124" s="0" t="s">
        <v>185</v>
      </c>
      <c r="G124" s="0" t="s">
        <v>39</v>
      </c>
      <c r="H124" s="0" t="s">
        <v>896</v>
      </c>
      <c r="I124" s="0" t="s">
        <v>644</v>
      </c>
      <c r="J124" s="0" t="s">
        <v>645</v>
      </c>
      <c r="K124" s="0" t="s">
        <v>46</v>
      </c>
      <c r="L124" s="0" t="str">
        <f aca="false">HYPERLINK("https://www.ncbi.nlm.nih.gov/snp/rs35654681", "rs35654681")</f>
        <v>rs35654681</v>
      </c>
      <c r="M124" s="0" t="str">
        <f aca="false">HYPERLINK("https://www.genecards.org/Search/Keyword?queryString=%5Baliases%5D(%20CDON%20)&amp;keywords=CDON", "CDON")</f>
        <v>CDON</v>
      </c>
      <c r="N124" s="0" t="s">
        <v>189</v>
      </c>
      <c r="O124" s="0" t="s">
        <v>46</v>
      </c>
      <c r="P124" s="0" t="s">
        <v>897</v>
      </c>
      <c r="Q124" s="0" t="n">
        <v>0.0041</v>
      </c>
      <c r="R124" s="0" t="n">
        <v>0.0042</v>
      </c>
      <c r="S124" s="0" t="n">
        <v>0.0041</v>
      </c>
      <c r="T124" s="0" t="n">
        <v>-1</v>
      </c>
      <c r="U124" s="0" t="n">
        <v>0.0059</v>
      </c>
      <c r="V124" s="0" t="s">
        <v>46</v>
      </c>
      <c r="W124" s="0" t="s">
        <v>46</v>
      </c>
      <c r="X124" s="0" t="s">
        <v>46</v>
      </c>
      <c r="Y124" s="0" t="s">
        <v>46</v>
      </c>
      <c r="Z124" s="0" t="s">
        <v>46</v>
      </c>
      <c r="AA124" s="0" t="s">
        <v>46</v>
      </c>
      <c r="AB124" s="0" t="s">
        <v>46</v>
      </c>
      <c r="AC124" s="0" t="s">
        <v>50</v>
      </c>
      <c r="AD124" s="0" t="s">
        <v>51</v>
      </c>
      <c r="AE124" s="0" t="s">
        <v>898</v>
      </c>
      <c r="AF124" s="0" t="s">
        <v>899</v>
      </c>
      <c r="AG124" s="0" t="s">
        <v>900</v>
      </c>
      <c r="AH124" s="0" t="s">
        <v>901</v>
      </c>
      <c r="AI124" s="0" t="s">
        <v>46</v>
      </c>
      <c r="AJ124" s="0" t="s">
        <v>46</v>
      </c>
      <c r="AK124" s="0" t="s">
        <v>46</v>
      </c>
      <c r="AL124" s="0" t="s">
        <v>46</v>
      </c>
    </row>
    <row r="125" customFormat="false" ht="15" hidden="false" customHeight="false" outlineLevel="0" collapsed="false">
      <c r="B125" s="0" t="str">
        <f aca="false">HYPERLINK("https://genome.ucsc.edu/cgi-bin/hgTracks?db=hg19&amp;position=chr12%3A3930920%2D3930920", "chr12:3930920")</f>
        <v>chr12:3930920</v>
      </c>
      <c r="C125" s="0" t="s">
        <v>183</v>
      </c>
      <c r="D125" s="0" t="n">
        <v>3930920</v>
      </c>
      <c r="E125" s="0" t="n">
        <v>3930920</v>
      </c>
      <c r="F125" s="0" t="s">
        <v>57</v>
      </c>
      <c r="G125" s="0" t="s">
        <v>40</v>
      </c>
      <c r="H125" s="0" t="s">
        <v>902</v>
      </c>
      <c r="I125" s="0" t="s">
        <v>903</v>
      </c>
      <c r="J125" s="0" t="s">
        <v>904</v>
      </c>
      <c r="K125" s="0" t="s">
        <v>46</v>
      </c>
      <c r="L125" s="0" t="str">
        <f aca="false">HYPERLINK("https://www.ncbi.nlm.nih.gov/snp/rs138730941", "rs138730941")</f>
        <v>rs138730941</v>
      </c>
      <c r="M125" s="0" t="str">
        <f aca="false">HYPERLINK("https://www.genecards.org/Search/Keyword?queryString=%5Baliases%5D(%20PARP11%20)&amp;keywords=PARP11", "PARP11")</f>
        <v>PARP11</v>
      </c>
      <c r="N125" s="0" t="s">
        <v>45</v>
      </c>
      <c r="O125" s="0" t="s">
        <v>46</v>
      </c>
      <c r="P125" s="0" t="s">
        <v>46</v>
      </c>
      <c r="Q125" s="0" t="n">
        <v>0.0064</v>
      </c>
      <c r="R125" s="0" t="n">
        <v>0.0035</v>
      </c>
      <c r="S125" s="0" t="n">
        <v>0.0041</v>
      </c>
      <c r="T125" s="0" t="n">
        <v>-1</v>
      </c>
      <c r="U125" s="0" t="n">
        <v>0.0022</v>
      </c>
      <c r="V125" s="0" t="s">
        <v>46</v>
      </c>
      <c r="W125" s="0" t="s">
        <v>46</v>
      </c>
      <c r="X125" s="0" t="s">
        <v>47</v>
      </c>
      <c r="Y125" s="0" t="s">
        <v>48</v>
      </c>
      <c r="Z125" s="0" t="s">
        <v>46</v>
      </c>
      <c r="AA125" s="0" t="s">
        <v>46</v>
      </c>
      <c r="AB125" s="0" t="s">
        <v>46</v>
      </c>
      <c r="AC125" s="0" t="s">
        <v>50</v>
      </c>
      <c r="AD125" s="0" t="s">
        <v>51</v>
      </c>
      <c r="AE125" s="0" t="s">
        <v>905</v>
      </c>
      <c r="AF125" s="0" t="s">
        <v>906</v>
      </c>
      <c r="AG125" s="0" t="s">
        <v>46</v>
      </c>
      <c r="AH125" s="0" t="s">
        <v>46</v>
      </c>
      <c r="AI125" s="0" t="s">
        <v>46</v>
      </c>
      <c r="AJ125" s="0" t="s">
        <v>46</v>
      </c>
      <c r="AK125" s="0" t="s">
        <v>46</v>
      </c>
      <c r="AL125" s="0" t="s">
        <v>46</v>
      </c>
    </row>
    <row r="126" customFormat="false" ht="15" hidden="false" customHeight="false" outlineLevel="0" collapsed="false">
      <c r="B126" s="0" t="str">
        <f aca="false">HYPERLINK("https://genome.ucsc.edu/cgi-bin/hgTracks?db=hg19&amp;position=chr12%3A25261759%2D25261759", "chr12:25261759")</f>
        <v>chr12:25261759</v>
      </c>
      <c r="C126" s="0" t="s">
        <v>183</v>
      </c>
      <c r="D126" s="0" t="n">
        <v>25261759</v>
      </c>
      <c r="E126" s="0" t="n">
        <v>25261759</v>
      </c>
      <c r="F126" s="0" t="s">
        <v>185</v>
      </c>
      <c r="G126" s="0" t="s">
        <v>907</v>
      </c>
      <c r="H126" s="0" t="s">
        <v>908</v>
      </c>
      <c r="I126" s="0" t="s">
        <v>909</v>
      </c>
      <c r="J126" s="0" t="s">
        <v>910</v>
      </c>
      <c r="K126" s="0" t="s">
        <v>46</v>
      </c>
      <c r="L126" s="0" t="s">
        <v>46</v>
      </c>
      <c r="M126" s="0" t="str">
        <f aca="false">HYPERLINK("https://www.genecards.org/Search/Keyword?queryString=%5Baliases%5D(%20CASC1%20)&amp;keywords=CASC1", "CASC1")</f>
        <v>CASC1</v>
      </c>
      <c r="N126" s="0" t="s">
        <v>602</v>
      </c>
      <c r="O126" s="0" t="s">
        <v>46</v>
      </c>
      <c r="P126" s="0" t="s">
        <v>911</v>
      </c>
      <c r="Q126" s="0" t="n">
        <v>0.0001876</v>
      </c>
      <c r="R126" s="0" t="n">
        <v>-1</v>
      </c>
      <c r="S126" s="0" t="n">
        <v>-1</v>
      </c>
      <c r="T126" s="0" t="n">
        <v>-1</v>
      </c>
      <c r="U126" s="0" t="n">
        <v>-1</v>
      </c>
      <c r="V126" s="0" t="s">
        <v>46</v>
      </c>
      <c r="W126" s="0" t="s">
        <v>46</v>
      </c>
      <c r="X126" s="0" t="s">
        <v>46</v>
      </c>
      <c r="Y126" s="0" t="s">
        <v>46</v>
      </c>
      <c r="Z126" s="0" t="s">
        <v>46</v>
      </c>
      <c r="AA126" s="0" t="s">
        <v>46</v>
      </c>
      <c r="AB126" s="0" t="s">
        <v>46</v>
      </c>
      <c r="AC126" s="0" t="s">
        <v>254</v>
      </c>
      <c r="AD126" s="0" t="s">
        <v>51</v>
      </c>
      <c r="AE126" s="0" t="s">
        <v>912</v>
      </c>
      <c r="AF126" s="0" t="s">
        <v>913</v>
      </c>
      <c r="AG126" s="0" t="s">
        <v>46</v>
      </c>
      <c r="AH126" s="0" t="s">
        <v>46</v>
      </c>
      <c r="AI126" s="0" t="s">
        <v>46</v>
      </c>
      <c r="AJ126" s="0" t="s">
        <v>46</v>
      </c>
      <c r="AK126" s="0" t="s">
        <v>46</v>
      </c>
      <c r="AL126" s="0" t="s">
        <v>46</v>
      </c>
    </row>
    <row r="127" customFormat="false" ht="15" hidden="false" customHeight="false" outlineLevel="0" collapsed="false">
      <c r="B127" s="0" t="str">
        <f aca="false">HYPERLINK("https://genome.ucsc.edu/cgi-bin/hgTracks?db=hg19&amp;position=chr12%3A49420988%2D49420988", "chr12:49420988")</f>
        <v>chr12:49420988</v>
      </c>
      <c r="C127" s="0" t="s">
        <v>183</v>
      </c>
      <c r="D127" s="0" t="n">
        <v>49420988</v>
      </c>
      <c r="E127" s="0" t="n">
        <v>49420988</v>
      </c>
      <c r="F127" s="0" t="s">
        <v>185</v>
      </c>
      <c r="G127" s="0" t="s">
        <v>39</v>
      </c>
      <c r="H127" s="0" t="s">
        <v>914</v>
      </c>
      <c r="I127" s="0" t="s">
        <v>225</v>
      </c>
      <c r="J127" s="0" t="s">
        <v>915</v>
      </c>
      <c r="K127" s="0" t="s">
        <v>46</v>
      </c>
      <c r="L127" s="0" t="s">
        <v>46</v>
      </c>
      <c r="M127" s="0" t="str">
        <f aca="false">HYPERLINK("https://www.genecards.org/Search/Keyword?queryString=%5Baliases%5D(%20KMT2D%20)&amp;keywords=KMT2D", "KMT2D")</f>
        <v>KMT2D</v>
      </c>
      <c r="N127" s="0" t="s">
        <v>62</v>
      </c>
      <c r="O127" s="0" t="s">
        <v>273</v>
      </c>
      <c r="P127" s="0" t="s">
        <v>916</v>
      </c>
      <c r="Q127" s="0" t="n">
        <v>0.0002</v>
      </c>
      <c r="R127" s="0" t="n">
        <v>-1</v>
      </c>
      <c r="S127" s="0" t="n">
        <v>-1</v>
      </c>
      <c r="T127" s="0" t="n">
        <v>-1</v>
      </c>
      <c r="U127" s="0" t="n">
        <v>-1</v>
      </c>
      <c r="V127" s="0" t="s">
        <v>46</v>
      </c>
      <c r="W127" s="0" t="s">
        <v>46</v>
      </c>
      <c r="X127" s="0" t="s">
        <v>46</v>
      </c>
      <c r="Y127" s="0" t="s">
        <v>46</v>
      </c>
      <c r="Z127" s="0" t="s">
        <v>46</v>
      </c>
      <c r="AA127" s="0" t="s">
        <v>46</v>
      </c>
      <c r="AB127" s="0" t="s">
        <v>46</v>
      </c>
      <c r="AC127" s="0" t="s">
        <v>50</v>
      </c>
      <c r="AD127" s="0" t="s">
        <v>51</v>
      </c>
      <c r="AE127" s="0" t="s">
        <v>917</v>
      </c>
      <c r="AF127" s="0" t="s">
        <v>918</v>
      </c>
      <c r="AG127" s="0" t="s">
        <v>919</v>
      </c>
      <c r="AH127" s="0" t="s">
        <v>920</v>
      </c>
      <c r="AI127" s="0" t="s">
        <v>46</v>
      </c>
      <c r="AJ127" s="0" t="s">
        <v>46</v>
      </c>
      <c r="AK127" s="0" t="s">
        <v>46</v>
      </c>
      <c r="AL127" s="0" t="s">
        <v>46</v>
      </c>
    </row>
    <row r="128" customFormat="false" ht="15" hidden="false" customHeight="false" outlineLevel="0" collapsed="false">
      <c r="B128" s="0" t="str">
        <f aca="false">HYPERLINK("https://genome.ucsc.edu/cgi-bin/hgTracks?db=hg19&amp;position=chr12%3A50356177%2D50356177", "chr12:50356177")</f>
        <v>chr12:50356177</v>
      </c>
      <c r="C128" s="0" t="s">
        <v>183</v>
      </c>
      <c r="D128" s="0" t="n">
        <v>50356177</v>
      </c>
      <c r="E128" s="0" t="n">
        <v>50356177</v>
      </c>
      <c r="F128" s="0" t="s">
        <v>39</v>
      </c>
      <c r="G128" s="0" t="s">
        <v>185</v>
      </c>
      <c r="H128" s="0" t="s">
        <v>921</v>
      </c>
      <c r="I128" s="0" t="s">
        <v>367</v>
      </c>
      <c r="J128" s="0" t="s">
        <v>922</v>
      </c>
      <c r="K128" s="0" t="s">
        <v>46</v>
      </c>
      <c r="L128" s="0" t="s">
        <v>46</v>
      </c>
      <c r="M128" s="0" t="str">
        <f aca="false">HYPERLINK("https://www.genecards.org/Search/Keyword?queryString=%5Baliases%5D(%20AQP5%20)%20OR%20%5Baliases%5D(%20LOC101927318%20)&amp;keywords=AQP5,LOC101927318", "AQP5;LOC101927318")</f>
        <v>AQP5;LOC101927318</v>
      </c>
      <c r="N128" s="0" t="s">
        <v>306</v>
      </c>
      <c r="O128" s="0" t="s">
        <v>46</v>
      </c>
      <c r="P128" s="0" t="s">
        <v>46</v>
      </c>
      <c r="Q128" s="0" t="n">
        <v>-1</v>
      </c>
      <c r="R128" s="0" t="n">
        <v>-1</v>
      </c>
      <c r="S128" s="0" t="n">
        <v>-1</v>
      </c>
      <c r="T128" s="0" t="n">
        <v>-1</v>
      </c>
      <c r="U128" s="0" t="n">
        <v>-1</v>
      </c>
      <c r="V128" s="0" t="s">
        <v>46</v>
      </c>
      <c r="W128" s="0" t="s">
        <v>46</v>
      </c>
      <c r="X128" s="0" t="s">
        <v>46</v>
      </c>
      <c r="Y128" s="0" t="s">
        <v>46</v>
      </c>
      <c r="Z128" s="0" t="s">
        <v>46</v>
      </c>
      <c r="AA128" s="0" t="s">
        <v>46</v>
      </c>
      <c r="AB128" s="0" t="s">
        <v>46</v>
      </c>
      <c r="AC128" s="0" t="s">
        <v>254</v>
      </c>
      <c r="AD128" s="0" t="s">
        <v>191</v>
      </c>
      <c r="AE128" s="0" t="s">
        <v>923</v>
      </c>
      <c r="AF128" s="0" t="s">
        <v>924</v>
      </c>
      <c r="AG128" s="0" t="s">
        <v>925</v>
      </c>
      <c r="AH128" s="0" t="s">
        <v>926</v>
      </c>
      <c r="AI128" s="0" t="s">
        <v>46</v>
      </c>
      <c r="AJ128" s="0" t="s">
        <v>46</v>
      </c>
      <c r="AK128" s="0" t="s">
        <v>46</v>
      </c>
      <c r="AL128" s="0" t="s">
        <v>46</v>
      </c>
    </row>
    <row r="129" customFormat="false" ht="15" hidden="false" customHeight="false" outlineLevel="0" collapsed="false">
      <c r="B129" s="0" t="str">
        <f aca="false">HYPERLINK("https://genome.ucsc.edu/cgi-bin/hgTracks?db=hg19&amp;position=chr12%3A56693907%2D56693907", "chr12:56693907")</f>
        <v>chr12:56693907</v>
      </c>
      <c r="C129" s="0" t="s">
        <v>183</v>
      </c>
      <c r="D129" s="0" t="n">
        <v>56693907</v>
      </c>
      <c r="E129" s="0" t="n">
        <v>56693907</v>
      </c>
      <c r="F129" s="0" t="s">
        <v>57</v>
      </c>
      <c r="G129" s="0" t="s">
        <v>40</v>
      </c>
      <c r="H129" s="0" t="s">
        <v>927</v>
      </c>
      <c r="I129" s="0" t="s">
        <v>928</v>
      </c>
      <c r="J129" s="0" t="s">
        <v>929</v>
      </c>
      <c r="K129" s="0" t="s">
        <v>46</v>
      </c>
      <c r="L129" s="0" t="str">
        <f aca="false">HYPERLINK("https://www.ncbi.nlm.nih.gov/snp/rs34457402", "rs34457402")</f>
        <v>rs34457402</v>
      </c>
      <c r="M129" s="0" t="str">
        <f aca="false">HYPERLINK("https://www.genecards.org/Search/Keyword?queryString=%5Baliases%5D(%20CS%20)&amp;keywords=CS", "CS")</f>
        <v>CS</v>
      </c>
      <c r="N129" s="0" t="s">
        <v>45</v>
      </c>
      <c r="O129" s="0" t="s">
        <v>46</v>
      </c>
      <c r="P129" s="0" t="s">
        <v>46</v>
      </c>
      <c r="Q129" s="0" t="n">
        <v>0.0249</v>
      </c>
      <c r="R129" s="0" t="n">
        <v>0.023</v>
      </c>
      <c r="S129" s="0" t="n">
        <v>0.0245</v>
      </c>
      <c r="T129" s="0" t="n">
        <v>-1</v>
      </c>
      <c r="U129" s="0" t="n">
        <v>0.0245</v>
      </c>
      <c r="V129" s="0" t="s">
        <v>46</v>
      </c>
      <c r="W129" s="0" t="s">
        <v>46</v>
      </c>
      <c r="X129" s="0" t="s">
        <v>47</v>
      </c>
      <c r="Y129" s="0" t="s">
        <v>48</v>
      </c>
      <c r="Z129" s="0" t="s">
        <v>46</v>
      </c>
      <c r="AA129" s="0" t="s">
        <v>46</v>
      </c>
      <c r="AB129" s="0" t="s">
        <v>46</v>
      </c>
      <c r="AC129" s="0" t="s">
        <v>50</v>
      </c>
      <c r="AD129" s="0" t="s">
        <v>51</v>
      </c>
      <c r="AE129" s="0" t="s">
        <v>930</v>
      </c>
      <c r="AF129" s="0" t="s">
        <v>931</v>
      </c>
      <c r="AG129" s="0" t="s">
        <v>46</v>
      </c>
      <c r="AH129" s="0" t="s">
        <v>46</v>
      </c>
      <c r="AI129" s="0" t="s">
        <v>46</v>
      </c>
      <c r="AJ129" s="0" t="s">
        <v>46</v>
      </c>
      <c r="AK129" s="0" t="s">
        <v>46</v>
      </c>
      <c r="AL129" s="0" t="s">
        <v>46</v>
      </c>
    </row>
    <row r="130" s="2" customFormat="true" ht="15" hidden="false" customHeight="false" outlineLevel="0" collapsed="false">
      <c r="B130" s="2" t="str">
        <f aca="false">HYPERLINK("https://genome.ucsc.edu/cgi-bin/hgTracks?db=hg19&amp;position=chr12%3A58217738%2D58217741", "chr12:58217738")</f>
        <v>chr12:58217738</v>
      </c>
      <c r="C130" s="2" t="s">
        <v>183</v>
      </c>
      <c r="D130" s="2" t="n">
        <v>58217738</v>
      </c>
      <c r="E130" s="2" t="n">
        <v>58217741</v>
      </c>
      <c r="F130" s="2" t="s">
        <v>932</v>
      </c>
      <c r="G130" s="2" t="s">
        <v>185</v>
      </c>
      <c r="H130" s="2" t="s">
        <v>933</v>
      </c>
      <c r="I130" s="2" t="s">
        <v>423</v>
      </c>
      <c r="J130" s="2" t="s">
        <v>934</v>
      </c>
      <c r="K130" s="2" t="s">
        <v>46</v>
      </c>
      <c r="L130" s="2" t="s">
        <v>46</v>
      </c>
      <c r="M130" s="2" t="str">
        <f aca="false">HYPERLINK("https://www.genecards.org/Search/Keyword?queryString=%5Baliases%5D(%20CTDSP2%20)&amp;keywords=CTDSP2", "CTDSP2")</f>
        <v>CTDSP2</v>
      </c>
      <c r="N130" s="2" t="s">
        <v>62</v>
      </c>
      <c r="O130" s="2" t="s">
        <v>262</v>
      </c>
      <c r="P130" s="2" t="s">
        <v>935</v>
      </c>
      <c r="Q130" s="2" t="n">
        <v>-1</v>
      </c>
      <c r="R130" s="2" t="n">
        <v>-1</v>
      </c>
      <c r="S130" s="2" t="n">
        <v>-1</v>
      </c>
      <c r="T130" s="2" t="n">
        <v>-1</v>
      </c>
      <c r="U130" s="2" t="n">
        <v>-1</v>
      </c>
      <c r="V130" s="2" t="s">
        <v>46</v>
      </c>
      <c r="W130" s="2" t="s">
        <v>46</v>
      </c>
      <c r="X130" s="2" t="s">
        <v>46</v>
      </c>
      <c r="Y130" s="2" t="s">
        <v>46</v>
      </c>
      <c r="Z130" s="2" t="s">
        <v>46</v>
      </c>
      <c r="AA130" s="2" t="s">
        <v>46</v>
      </c>
      <c r="AB130" s="2" t="s">
        <v>46</v>
      </c>
      <c r="AC130" s="2" t="s">
        <v>50</v>
      </c>
      <c r="AD130" s="2" t="s">
        <v>147</v>
      </c>
      <c r="AE130" s="2" t="s">
        <v>936</v>
      </c>
      <c r="AF130" s="2" t="s">
        <v>937</v>
      </c>
      <c r="AG130" s="2" t="s">
        <v>938</v>
      </c>
      <c r="AH130" s="2" t="s">
        <v>46</v>
      </c>
      <c r="AI130" s="2" t="s">
        <v>46</v>
      </c>
      <c r="AJ130" s="2" t="s">
        <v>46</v>
      </c>
      <c r="AK130" s="2" t="s">
        <v>46</v>
      </c>
      <c r="AL130" s="2" t="s">
        <v>46</v>
      </c>
    </row>
    <row r="131" s="2" customFormat="true" ht="15" hidden="false" customHeight="false" outlineLevel="0" collapsed="false">
      <c r="B131" s="2" t="str">
        <f aca="false">HYPERLINK("https://genome.ucsc.edu/cgi-bin/hgTracks?db=hg19&amp;position=chr12%3A58217744%2D58217744", "chr12:58217744")</f>
        <v>chr12:58217744</v>
      </c>
      <c r="C131" s="2" t="s">
        <v>183</v>
      </c>
      <c r="D131" s="2" t="n">
        <v>58217744</v>
      </c>
      <c r="E131" s="2" t="n">
        <v>58217744</v>
      </c>
      <c r="F131" s="2" t="s">
        <v>185</v>
      </c>
      <c r="G131" s="2" t="s">
        <v>939</v>
      </c>
      <c r="H131" s="2" t="s">
        <v>940</v>
      </c>
      <c r="I131" s="2" t="s">
        <v>941</v>
      </c>
      <c r="J131" s="2" t="s">
        <v>942</v>
      </c>
      <c r="K131" s="2" t="s">
        <v>46</v>
      </c>
      <c r="L131" s="2" t="s">
        <v>46</v>
      </c>
      <c r="M131" s="2" t="str">
        <f aca="false">HYPERLINK("https://www.genecards.org/Search/Keyword?queryString=%5Baliases%5D(%20CTDSP2%20)&amp;keywords=CTDSP2", "CTDSP2")</f>
        <v>CTDSP2</v>
      </c>
      <c r="N131" s="2" t="s">
        <v>62</v>
      </c>
      <c r="O131" s="2" t="s">
        <v>273</v>
      </c>
      <c r="P131" s="2" t="s">
        <v>943</v>
      </c>
      <c r="Q131" s="2" t="n">
        <v>-1</v>
      </c>
      <c r="R131" s="2" t="n">
        <v>-1</v>
      </c>
      <c r="S131" s="2" t="n">
        <v>-1</v>
      </c>
      <c r="T131" s="2" t="n">
        <v>-1</v>
      </c>
      <c r="U131" s="2" t="n">
        <v>-1</v>
      </c>
      <c r="V131" s="2" t="s">
        <v>46</v>
      </c>
      <c r="W131" s="2" t="s">
        <v>46</v>
      </c>
      <c r="X131" s="2" t="s">
        <v>46</v>
      </c>
      <c r="Y131" s="2" t="s">
        <v>46</v>
      </c>
      <c r="Z131" s="2" t="s">
        <v>46</v>
      </c>
      <c r="AA131" s="2" t="s">
        <v>46</v>
      </c>
      <c r="AB131" s="2" t="s">
        <v>46</v>
      </c>
      <c r="AC131" s="2" t="s">
        <v>50</v>
      </c>
      <c r="AD131" s="2" t="s">
        <v>147</v>
      </c>
      <c r="AE131" s="2" t="s">
        <v>936</v>
      </c>
      <c r="AF131" s="2" t="s">
        <v>937</v>
      </c>
      <c r="AG131" s="2" t="s">
        <v>938</v>
      </c>
      <c r="AH131" s="2" t="s">
        <v>46</v>
      </c>
      <c r="AI131" s="2" t="s">
        <v>46</v>
      </c>
      <c r="AJ131" s="2" t="s">
        <v>46</v>
      </c>
      <c r="AK131" s="2" t="s">
        <v>46</v>
      </c>
      <c r="AL131" s="2" t="s">
        <v>46</v>
      </c>
    </row>
    <row r="132" customFormat="false" ht="15" hidden="false" customHeight="false" outlineLevel="0" collapsed="false">
      <c r="B132" s="0" t="str">
        <f aca="false">HYPERLINK("https://genome.ucsc.edu/cgi-bin/hgTracks?db=hg19&amp;position=chr12%3A89894301%2D89894301", "chr12:89894301")</f>
        <v>chr12:89894301</v>
      </c>
      <c r="C132" s="0" t="s">
        <v>183</v>
      </c>
      <c r="D132" s="0" t="n">
        <v>89894301</v>
      </c>
      <c r="E132" s="0" t="n">
        <v>89894301</v>
      </c>
      <c r="F132" s="0" t="s">
        <v>82</v>
      </c>
      <c r="G132" s="0" t="s">
        <v>39</v>
      </c>
      <c r="H132" s="0" t="s">
        <v>944</v>
      </c>
      <c r="I132" s="0" t="s">
        <v>945</v>
      </c>
      <c r="J132" s="0" t="s">
        <v>946</v>
      </c>
      <c r="K132" s="0" t="s">
        <v>46</v>
      </c>
      <c r="L132" s="0" t="str">
        <f aca="false">HYPERLINK("https://www.ncbi.nlm.nih.gov/snp/rs61925108", "rs61925108")</f>
        <v>rs61925108</v>
      </c>
      <c r="M132" s="0" t="str">
        <f aca="false">HYPERLINK("https://www.genecards.org/Search/Keyword?queryString=%5Baliases%5D(%20POC1B%20)&amp;keywords=POC1B", "POC1B")</f>
        <v>POC1B</v>
      </c>
      <c r="N132" s="0" t="s">
        <v>704</v>
      </c>
      <c r="O132" s="0" t="s">
        <v>46</v>
      </c>
      <c r="P132" s="0" t="s">
        <v>46</v>
      </c>
      <c r="Q132" s="0" t="n">
        <v>0.0179</v>
      </c>
      <c r="R132" s="0" t="n">
        <v>0.0077</v>
      </c>
      <c r="S132" s="0" t="n">
        <v>0.0109</v>
      </c>
      <c r="T132" s="0" t="n">
        <v>-1</v>
      </c>
      <c r="U132" s="0" t="n">
        <v>0.0122</v>
      </c>
      <c r="V132" s="0" t="s">
        <v>46</v>
      </c>
      <c r="W132" s="0" t="s">
        <v>46</v>
      </c>
      <c r="X132" s="0" t="s">
        <v>46</v>
      </c>
      <c r="Y132" s="0" t="s">
        <v>46</v>
      </c>
      <c r="Z132" s="0" t="s">
        <v>46</v>
      </c>
      <c r="AA132" s="0" t="s">
        <v>46</v>
      </c>
      <c r="AB132" s="0" t="s">
        <v>46</v>
      </c>
      <c r="AC132" s="0" t="s">
        <v>50</v>
      </c>
      <c r="AD132" s="0" t="s">
        <v>51</v>
      </c>
      <c r="AE132" s="0" t="s">
        <v>947</v>
      </c>
      <c r="AF132" s="0" t="s">
        <v>948</v>
      </c>
      <c r="AG132" s="0" t="s">
        <v>949</v>
      </c>
      <c r="AH132" s="0" t="s">
        <v>950</v>
      </c>
      <c r="AI132" s="0" t="s">
        <v>46</v>
      </c>
      <c r="AJ132" s="0" t="s">
        <v>46</v>
      </c>
      <c r="AK132" s="0" t="s">
        <v>46</v>
      </c>
      <c r="AL132" s="0" t="s">
        <v>46</v>
      </c>
    </row>
    <row r="133" customFormat="false" ht="15" hidden="false" customHeight="false" outlineLevel="0" collapsed="false">
      <c r="B133" s="0" t="str">
        <f aca="false">HYPERLINK("https://genome.ucsc.edu/cgi-bin/hgTracks?db=hg19&amp;position=chr12%3A89996793%2D89996793", "chr12:89996793")</f>
        <v>chr12:89996793</v>
      </c>
      <c r="C133" s="0" t="s">
        <v>183</v>
      </c>
      <c r="D133" s="0" t="n">
        <v>89996793</v>
      </c>
      <c r="E133" s="0" t="n">
        <v>89996793</v>
      </c>
      <c r="F133" s="0" t="s">
        <v>82</v>
      </c>
      <c r="G133" s="0" t="s">
        <v>40</v>
      </c>
      <c r="H133" s="0" t="s">
        <v>951</v>
      </c>
      <c r="I133" s="0" t="s">
        <v>952</v>
      </c>
      <c r="J133" s="0" t="s">
        <v>953</v>
      </c>
      <c r="K133" s="0" t="s">
        <v>46</v>
      </c>
      <c r="L133" s="0" t="s">
        <v>46</v>
      </c>
      <c r="M133" s="0" t="str">
        <f aca="false">HYPERLINK("https://www.genecards.org/Search/Keyword?queryString=%5Baliases%5D(%20ATP2B1%20)&amp;keywords=ATP2B1", "ATP2B1")</f>
        <v>ATP2B1</v>
      </c>
      <c r="N133" s="0" t="s">
        <v>45</v>
      </c>
      <c r="O133" s="0" t="s">
        <v>46</v>
      </c>
      <c r="P133" s="0" t="s">
        <v>46</v>
      </c>
      <c r="Q133" s="0" t="n">
        <v>-1</v>
      </c>
      <c r="R133" s="0" t="n">
        <v>-1</v>
      </c>
      <c r="S133" s="0" t="n">
        <v>-1</v>
      </c>
      <c r="T133" s="0" t="n">
        <v>-1</v>
      </c>
      <c r="U133" s="0" t="n">
        <v>-1</v>
      </c>
      <c r="V133" s="0" t="s">
        <v>46</v>
      </c>
      <c r="W133" s="0" t="s">
        <v>46</v>
      </c>
      <c r="X133" s="0" t="s">
        <v>47</v>
      </c>
      <c r="Y133" s="0" t="s">
        <v>48</v>
      </c>
      <c r="Z133" s="0" t="s">
        <v>46</v>
      </c>
      <c r="AA133" s="0" t="s">
        <v>46</v>
      </c>
      <c r="AB133" s="0" t="s">
        <v>46</v>
      </c>
      <c r="AC133" s="0" t="s">
        <v>50</v>
      </c>
      <c r="AD133" s="0" t="s">
        <v>51</v>
      </c>
      <c r="AE133" s="0" t="s">
        <v>954</v>
      </c>
      <c r="AF133" s="0" t="s">
        <v>955</v>
      </c>
      <c r="AG133" s="0" t="s">
        <v>956</v>
      </c>
      <c r="AH133" s="0" t="s">
        <v>46</v>
      </c>
      <c r="AI133" s="0" t="s">
        <v>46</v>
      </c>
      <c r="AJ133" s="0" t="s">
        <v>46</v>
      </c>
      <c r="AK133" s="0" t="s">
        <v>46</v>
      </c>
      <c r="AL133" s="0" t="s">
        <v>46</v>
      </c>
    </row>
    <row r="134" customFormat="false" ht="15" hidden="false" customHeight="false" outlineLevel="0" collapsed="false">
      <c r="B134" s="0" t="str">
        <f aca="false">HYPERLINK("https://genome.ucsc.edu/cgi-bin/hgTracks?db=hg19&amp;position=chr12%3A105282672%2D105282672", "chr12:105282672")</f>
        <v>chr12:105282672</v>
      </c>
      <c r="C134" s="0" t="s">
        <v>183</v>
      </c>
      <c r="D134" s="0" t="n">
        <v>105282672</v>
      </c>
      <c r="E134" s="0" t="n">
        <v>105282672</v>
      </c>
      <c r="F134" s="0" t="s">
        <v>82</v>
      </c>
      <c r="G134" s="0" t="s">
        <v>40</v>
      </c>
      <c r="H134" s="0" t="s">
        <v>957</v>
      </c>
      <c r="I134" s="0" t="s">
        <v>661</v>
      </c>
      <c r="J134" s="0" t="s">
        <v>958</v>
      </c>
      <c r="K134" s="0" t="s">
        <v>46</v>
      </c>
      <c r="L134" s="0" t="str">
        <f aca="false">HYPERLINK("https://www.ncbi.nlm.nih.gov/snp/rs185834770", "rs185834770")</f>
        <v>rs185834770</v>
      </c>
      <c r="M134" s="0" t="str">
        <f aca="false">HYPERLINK("https://www.genecards.org/Search/Keyword?queryString=%5Baliases%5D(%20SLC41A2%20)&amp;keywords=SLC41A2", "SLC41A2")</f>
        <v>SLC41A2</v>
      </c>
      <c r="N134" s="0" t="s">
        <v>45</v>
      </c>
      <c r="O134" s="0" t="s">
        <v>46</v>
      </c>
      <c r="P134" s="0" t="s">
        <v>46</v>
      </c>
      <c r="Q134" s="0" t="n">
        <v>0.0014</v>
      </c>
      <c r="R134" s="0" t="n">
        <v>9.022E-005</v>
      </c>
      <c r="S134" s="0" t="n">
        <v>7.35E-005</v>
      </c>
      <c r="T134" s="0" t="n">
        <v>-1</v>
      </c>
      <c r="U134" s="0" t="n">
        <v>-1</v>
      </c>
      <c r="V134" s="0" t="s">
        <v>46</v>
      </c>
      <c r="W134" s="0" t="s">
        <v>46</v>
      </c>
      <c r="X134" s="0" t="s">
        <v>354</v>
      </c>
      <c r="Y134" s="0" t="s">
        <v>48</v>
      </c>
      <c r="Z134" s="0" t="s">
        <v>46</v>
      </c>
      <c r="AA134" s="0" t="s">
        <v>46</v>
      </c>
      <c r="AB134" s="0" t="s">
        <v>46</v>
      </c>
      <c r="AC134" s="0" t="s">
        <v>50</v>
      </c>
      <c r="AD134" s="0" t="s">
        <v>51</v>
      </c>
      <c r="AE134" s="0" t="s">
        <v>959</v>
      </c>
      <c r="AF134" s="0" t="s">
        <v>960</v>
      </c>
      <c r="AG134" s="0" t="s">
        <v>961</v>
      </c>
      <c r="AH134" s="0" t="s">
        <v>46</v>
      </c>
      <c r="AI134" s="0" t="s">
        <v>46</v>
      </c>
      <c r="AJ134" s="0" t="s">
        <v>46</v>
      </c>
      <c r="AK134" s="0" t="s">
        <v>46</v>
      </c>
      <c r="AL134" s="0" t="s">
        <v>46</v>
      </c>
    </row>
    <row r="135" customFormat="false" ht="15" hidden="false" customHeight="false" outlineLevel="0" collapsed="false">
      <c r="B135" s="0" t="str">
        <f aca="false">HYPERLINK("https://genome.ucsc.edu/cgi-bin/hgTracks?db=hg19&amp;position=chr12%3A105605021%2D105605021", "chr12:105605021")</f>
        <v>chr12:105605021</v>
      </c>
      <c r="C135" s="0" t="s">
        <v>183</v>
      </c>
      <c r="D135" s="0" t="n">
        <v>105605021</v>
      </c>
      <c r="E135" s="0" t="n">
        <v>105605021</v>
      </c>
      <c r="F135" s="0" t="s">
        <v>185</v>
      </c>
      <c r="G135" s="0" t="s">
        <v>962</v>
      </c>
      <c r="H135" s="0" t="s">
        <v>963</v>
      </c>
      <c r="I135" s="0" t="s">
        <v>535</v>
      </c>
      <c r="J135" s="0" t="s">
        <v>964</v>
      </c>
      <c r="K135" s="0" t="s">
        <v>46</v>
      </c>
      <c r="L135" s="0" t="str">
        <f aca="false">HYPERLINK("https://www.ncbi.nlm.nih.gov/snp/rs777900558", "rs777900558")</f>
        <v>rs777900558</v>
      </c>
      <c r="M135" s="0" t="str">
        <f aca="false">HYPERLINK("https://www.genecards.org/Search/Keyword?queryString=%5Baliases%5D(%20APPL2%20)&amp;keywords=APPL2", "APPL2")</f>
        <v>APPL2</v>
      </c>
      <c r="N135" s="0" t="s">
        <v>62</v>
      </c>
      <c r="O135" s="0" t="s">
        <v>273</v>
      </c>
      <c r="P135" s="0" t="s">
        <v>965</v>
      </c>
      <c r="Q135" s="0" t="n">
        <v>0.000821</v>
      </c>
      <c r="R135" s="0" t="n">
        <v>0.0002</v>
      </c>
      <c r="S135" s="0" t="n">
        <v>0.0002</v>
      </c>
      <c r="T135" s="0" t="n">
        <v>-1</v>
      </c>
      <c r="U135" s="0" t="n">
        <v>-1</v>
      </c>
      <c r="V135" s="0" t="s">
        <v>46</v>
      </c>
      <c r="W135" s="0" t="s">
        <v>46</v>
      </c>
      <c r="X135" s="0" t="s">
        <v>46</v>
      </c>
      <c r="Y135" s="0" t="s">
        <v>46</v>
      </c>
      <c r="Z135" s="0" t="s">
        <v>46</v>
      </c>
      <c r="AA135" s="0" t="s">
        <v>46</v>
      </c>
      <c r="AB135" s="0" t="s">
        <v>46</v>
      </c>
      <c r="AC135" s="0" t="s">
        <v>50</v>
      </c>
      <c r="AD135" s="0" t="s">
        <v>51</v>
      </c>
      <c r="AE135" s="0" t="s">
        <v>966</v>
      </c>
      <c r="AF135" s="0" t="s">
        <v>967</v>
      </c>
      <c r="AG135" s="0" t="s">
        <v>968</v>
      </c>
      <c r="AH135" s="0" t="s">
        <v>46</v>
      </c>
      <c r="AI135" s="0" t="s">
        <v>46</v>
      </c>
      <c r="AJ135" s="0" t="s">
        <v>46</v>
      </c>
      <c r="AK135" s="0" t="s">
        <v>46</v>
      </c>
      <c r="AL135" s="0" t="s">
        <v>46</v>
      </c>
    </row>
    <row r="136" customFormat="false" ht="15" hidden="false" customHeight="false" outlineLevel="0" collapsed="false">
      <c r="B136" s="0" t="str">
        <f aca="false">HYPERLINK("https://genome.ucsc.edu/cgi-bin/hgTracks?db=hg19&amp;position=chr12%3A111991926%2D111991926", "chr12:111991926")</f>
        <v>chr12:111991926</v>
      </c>
      <c r="C136" s="0" t="s">
        <v>183</v>
      </c>
      <c r="D136" s="0" t="n">
        <v>111991926</v>
      </c>
      <c r="E136" s="0" t="n">
        <v>111991926</v>
      </c>
      <c r="F136" s="0" t="s">
        <v>40</v>
      </c>
      <c r="G136" s="0" t="s">
        <v>82</v>
      </c>
      <c r="H136" s="0" t="s">
        <v>969</v>
      </c>
      <c r="I136" s="0" t="s">
        <v>903</v>
      </c>
      <c r="J136" s="0" t="s">
        <v>970</v>
      </c>
      <c r="K136" s="0" t="s">
        <v>46</v>
      </c>
      <c r="L136" s="0" t="str">
        <f aca="false">HYPERLINK("https://www.ncbi.nlm.nih.gov/snp/rs192536857", "rs192536857")</f>
        <v>rs192536857</v>
      </c>
      <c r="M136" s="0" t="str">
        <f aca="false">HYPERLINK("https://www.genecards.org/Search/Keyword?queryString=%5Baliases%5D(%20ATXN2%20)&amp;keywords=ATXN2", "ATXN2")</f>
        <v>ATXN2</v>
      </c>
      <c r="N136" s="0" t="s">
        <v>45</v>
      </c>
      <c r="O136" s="0" t="s">
        <v>46</v>
      </c>
      <c r="P136" s="0" t="s">
        <v>46</v>
      </c>
      <c r="Q136" s="0" t="n">
        <v>0.0141</v>
      </c>
      <c r="R136" s="0" t="n">
        <v>0.0174</v>
      </c>
      <c r="S136" s="0" t="n">
        <v>0.0146</v>
      </c>
      <c r="T136" s="0" t="n">
        <v>-1</v>
      </c>
      <c r="U136" s="0" t="n">
        <v>0.0262</v>
      </c>
      <c r="V136" s="0" t="s">
        <v>46</v>
      </c>
      <c r="W136" s="0" t="s">
        <v>46</v>
      </c>
      <c r="X136" s="0" t="s">
        <v>354</v>
      </c>
      <c r="Y136" s="0" t="s">
        <v>48</v>
      </c>
      <c r="Z136" s="0" t="s">
        <v>46</v>
      </c>
      <c r="AA136" s="0" t="s">
        <v>46</v>
      </c>
      <c r="AB136" s="0" t="s">
        <v>46</v>
      </c>
      <c r="AC136" s="0" t="s">
        <v>50</v>
      </c>
      <c r="AD136" s="0" t="s">
        <v>51</v>
      </c>
      <c r="AE136" s="0" t="s">
        <v>971</v>
      </c>
      <c r="AF136" s="0" t="s">
        <v>972</v>
      </c>
      <c r="AG136" s="0" t="s">
        <v>973</v>
      </c>
      <c r="AH136" s="0" t="s">
        <v>974</v>
      </c>
      <c r="AI136" s="0" t="s">
        <v>46</v>
      </c>
      <c r="AJ136" s="0" t="s">
        <v>46</v>
      </c>
      <c r="AK136" s="0" t="s">
        <v>46</v>
      </c>
      <c r="AL136" s="0" t="s">
        <v>46</v>
      </c>
    </row>
    <row r="137" customFormat="false" ht="15" hidden="false" customHeight="false" outlineLevel="0" collapsed="false">
      <c r="B137" s="0" t="str">
        <f aca="false">HYPERLINK("https://genome.ucsc.edu/cgi-bin/hgTracks?db=hg19&amp;position=chr13%3A19998995%2D19998995", "chr13:19998995")</f>
        <v>chr13:19998995</v>
      </c>
      <c r="C137" s="0" t="s">
        <v>139</v>
      </c>
      <c r="D137" s="0" t="n">
        <v>19998995</v>
      </c>
      <c r="E137" s="0" t="n">
        <v>19998995</v>
      </c>
      <c r="F137" s="0" t="s">
        <v>39</v>
      </c>
      <c r="G137" s="0" t="s">
        <v>40</v>
      </c>
      <c r="H137" s="0" t="s">
        <v>975</v>
      </c>
      <c r="I137" s="0" t="s">
        <v>976</v>
      </c>
      <c r="J137" s="0" t="s">
        <v>977</v>
      </c>
      <c r="K137" s="0" t="s">
        <v>46</v>
      </c>
      <c r="L137" s="0" t="str">
        <f aca="false">HYPERLINK("https://www.ncbi.nlm.nih.gov/snp/rs572581845", "rs572581845")</f>
        <v>rs572581845</v>
      </c>
      <c r="M137" s="0" t="str">
        <f aca="false">HYPERLINK("https://www.genecards.org/Search/Keyword?queryString=%5Baliases%5D(%20TPTE2%20)&amp;keywords=TPTE2", "TPTE2")</f>
        <v>TPTE2</v>
      </c>
      <c r="N137" s="0" t="s">
        <v>45</v>
      </c>
      <c r="O137" s="0" t="s">
        <v>46</v>
      </c>
      <c r="P137" s="0" t="s">
        <v>46</v>
      </c>
      <c r="Q137" s="0" t="n">
        <v>0.001</v>
      </c>
      <c r="R137" s="0" t="n">
        <v>9.019E-005</v>
      </c>
      <c r="S137" s="0" t="n">
        <v>7.344E-005</v>
      </c>
      <c r="T137" s="0" t="n">
        <v>-1</v>
      </c>
      <c r="U137" s="0" t="n">
        <v>0.0002</v>
      </c>
      <c r="V137" s="0" t="s">
        <v>46</v>
      </c>
      <c r="W137" s="0" t="s">
        <v>46</v>
      </c>
      <c r="X137" s="0" t="s">
        <v>47</v>
      </c>
      <c r="Y137" s="0" t="s">
        <v>48</v>
      </c>
      <c r="Z137" s="0" t="s">
        <v>46</v>
      </c>
      <c r="AA137" s="0" t="s">
        <v>46</v>
      </c>
      <c r="AB137" s="0" t="s">
        <v>46</v>
      </c>
      <c r="AC137" s="0" t="s">
        <v>50</v>
      </c>
      <c r="AD137" s="0" t="s">
        <v>51</v>
      </c>
      <c r="AE137" s="0" t="s">
        <v>978</v>
      </c>
      <c r="AF137" s="0" t="s">
        <v>979</v>
      </c>
      <c r="AG137" s="0" t="s">
        <v>46</v>
      </c>
      <c r="AH137" s="0" t="s">
        <v>46</v>
      </c>
      <c r="AI137" s="0" t="s">
        <v>46</v>
      </c>
      <c r="AJ137" s="0" t="s">
        <v>46</v>
      </c>
      <c r="AK137" s="0" t="s">
        <v>46</v>
      </c>
      <c r="AL137" s="0" t="s">
        <v>46</v>
      </c>
    </row>
    <row r="138" customFormat="false" ht="15" hidden="false" customHeight="false" outlineLevel="0" collapsed="false">
      <c r="B138" s="0" t="str">
        <f aca="false">HYPERLINK("https://genome.ucsc.edu/cgi-bin/hgTracks?db=hg19&amp;position=chr13%3A20625876%2D20625876", "chr13:20625876")</f>
        <v>chr13:20625876</v>
      </c>
      <c r="C138" s="0" t="s">
        <v>139</v>
      </c>
      <c r="D138" s="0" t="n">
        <v>20625876</v>
      </c>
      <c r="E138" s="0" t="n">
        <v>20625876</v>
      </c>
      <c r="F138" s="0" t="s">
        <v>40</v>
      </c>
      <c r="G138" s="0" t="s">
        <v>57</v>
      </c>
      <c r="H138" s="0" t="s">
        <v>980</v>
      </c>
      <c r="I138" s="0" t="s">
        <v>621</v>
      </c>
      <c r="J138" s="0" t="s">
        <v>622</v>
      </c>
      <c r="K138" s="0" t="s">
        <v>46</v>
      </c>
      <c r="L138" s="0" t="str">
        <f aca="false">HYPERLINK("https://www.ncbi.nlm.nih.gov/snp/rs73154125", "rs73154125")</f>
        <v>rs73154125</v>
      </c>
      <c r="M138" s="0" t="str">
        <f aca="false">HYPERLINK("https://www.genecards.org/Search/Keyword?queryString=%5Baliases%5D(%20ZMYM2%20)&amp;keywords=ZMYM2", "ZMYM2")</f>
        <v>ZMYM2</v>
      </c>
      <c r="N138" s="0" t="s">
        <v>45</v>
      </c>
      <c r="O138" s="0" t="s">
        <v>46</v>
      </c>
      <c r="P138" s="0" t="s">
        <v>46</v>
      </c>
      <c r="Q138" s="0" t="n">
        <v>0.0291</v>
      </c>
      <c r="R138" s="0" t="n">
        <v>0.0158</v>
      </c>
      <c r="S138" s="0" t="n">
        <v>0.0162</v>
      </c>
      <c r="T138" s="0" t="n">
        <v>-1</v>
      </c>
      <c r="U138" s="0" t="n">
        <v>0.0159</v>
      </c>
      <c r="V138" s="0" t="s">
        <v>46</v>
      </c>
      <c r="W138" s="0" t="s">
        <v>46</v>
      </c>
      <c r="X138" s="0" t="s">
        <v>354</v>
      </c>
      <c r="Y138" s="0" t="s">
        <v>48</v>
      </c>
      <c r="Z138" s="0" t="s">
        <v>46</v>
      </c>
      <c r="AA138" s="0" t="s">
        <v>46</v>
      </c>
      <c r="AB138" s="0" t="s">
        <v>46</v>
      </c>
      <c r="AC138" s="0" t="s">
        <v>50</v>
      </c>
      <c r="AD138" s="0" t="s">
        <v>51</v>
      </c>
      <c r="AE138" s="0" t="s">
        <v>981</v>
      </c>
      <c r="AF138" s="0" t="s">
        <v>982</v>
      </c>
      <c r="AG138" s="0" t="s">
        <v>983</v>
      </c>
      <c r="AH138" s="0" t="s">
        <v>984</v>
      </c>
      <c r="AI138" s="0" t="s">
        <v>46</v>
      </c>
      <c r="AJ138" s="0" t="s">
        <v>46</v>
      </c>
      <c r="AK138" s="0" t="s">
        <v>46</v>
      </c>
      <c r="AL138" s="0" t="s">
        <v>46</v>
      </c>
    </row>
    <row r="139" s="3" customFormat="true" ht="15" hidden="false" customHeight="false" outlineLevel="0" collapsed="false">
      <c r="B139" s="3" t="str">
        <f aca="false">HYPERLINK("https://genome.ucsc.edu/cgi-bin/hgTracks?db=hg19&amp;position=chr13%3A32900540%2D32900540", "chr13:32900540")</f>
        <v>chr13:32900540</v>
      </c>
      <c r="C139" s="3" t="s">
        <v>139</v>
      </c>
      <c r="D139" s="3" t="n">
        <v>32900540</v>
      </c>
      <c r="E139" s="3" t="n">
        <v>32900540</v>
      </c>
      <c r="F139" s="3" t="s">
        <v>57</v>
      </c>
      <c r="G139" s="3" t="s">
        <v>39</v>
      </c>
      <c r="H139" s="3" t="s">
        <v>985</v>
      </c>
      <c r="I139" s="3" t="s">
        <v>352</v>
      </c>
      <c r="J139" s="3" t="s">
        <v>986</v>
      </c>
      <c r="K139" s="3" t="s">
        <v>46</v>
      </c>
      <c r="L139" s="3" t="s">
        <v>46</v>
      </c>
      <c r="M139" s="3" t="str">
        <f aca="false">HYPERLINK("https://www.genecards.org/Search/Keyword?queryString=%5Baliases%5D(%20BRCA2%20)&amp;keywords=BRCA2", "BRCA2")</f>
        <v>BRCA2</v>
      </c>
      <c r="N139" s="3" t="s">
        <v>45</v>
      </c>
      <c r="O139" s="3" t="s">
        <v>46</v>
      </c>
      <c r="P139" s="3" t="s">
        <v>46</v>
      </c>
      <c r="Q139" s="3" t="n">
        <v>-1</v>
      </c>
      <c r="R139" s="3" t="n">
        <v>-1</v>
      </c>
      <c r="S139" s="3" t="n">
        <v>-1</v>
      </c>
      <c r="T139" s="3" t="n">
        <v>-1</v>
      </c>
      <c r="U139" s="3" t="n">
        <v>-1</v>
      </c>
      <c r="V139" s="3" t="s">
        <v>46</v>
      </c>
      <c r="W139" s="3" t="s">
        <v>46</v>
      </c>
      <c r="X139" s="3" t="s">
        <v>354</v>
      </c>
      <c r="Y139" s="3" t="s">
        <v>48</v>
      </c>
      <c r="Z139" s="3" t="s">
        <v>46</v>
      </c>
      <c r="AA139" s="3" t="s">
        <v>46</v>
      </c>
      <c r="AB139" s="3" t="s">
        <v>46</v>
      </c>
      <c r="AC139" s="3" t="s">
        <v>50</v>
      </c>
      <c r="AD139" s="3" t="s">
        <v>147</v>
      </c>
      <c r="AE139" s="3" t="s">
        <v>148</v>
      </c>
      <c r="AF139" s="3" t="s">
        <v>149</v>
      </c>
      <c r="AG139" s="3" t="s">
        <v>150</v>
      </c>
      <c r="AH139" s="3" t="s">
        <v>151</v>
      </c>
      <c r="AI139" s="3" t="s">
        <v>46</v>
      </c>
      <c r="AJ139" s="3" t="s">
        <v>46</v>
      </c>
      <c r="AK139" s="3" t="s">
        <v>46</v>
      </c>
      <c r="AL139" s="3" t="s">
        <v>46</v>
      </c>
    </row>
    <row r="140" customFormat="false" ht="15" hidden="false" customHeight="false" outlineLevel="0" collapsed="false">
      <c r="B140" s="0" t="str">
        <f aca="false">HYPERLINK("https://genome.ucsc.edu/cgi-bin/hgTracks?db=hg19&amp;position=chr13%3A41194131%2D41194131", "chr13:41194131")</f>
        <v>chr13:41194131</v>
      </c>
      <c r="C140" s="0" t="s">
        <v>139</v>
      </c>
      <c r="D140" s="0" t="n">
        <v>41194131</v>
      </c>
      <c r="E140" s="0" t="n">
        <v>41194131</v>
      </c>
      <c r="F140" s="0" t="s">
        <v>39</v>
      </c>
      <c r="G140" s="0" t="s">
        <v>57</v>
      </c>
      <c r="H140" s="0" t="s">
        <v>987</v>
      </c>
      <c r="I140" s="0" t="s">
        <v>988</v>
      </c>
      <c r="J140" s="0" t="s">
        <v>989</v>
      </c>
      <c r="K140" s="0" t="s">
        <v>46</v>
      </c>
      <c r="L140" s="0" t="str">
        <f aca="false">HYPERLINK("https://www.ncbi.nlm.nih.gov/snp/rs73173174", "rs73173174")</f>
        <v>rs73173174</v>
      </c>
      <c r="M140" s="0" t="str">
        <f aca="false">HYPERLINK("https://www.genecards.org/Search/Keyword?queryString=%5Baliases%5D(%20FOXO1%20)&amp;keywords=FOXO1", "FOXO1")</f>
        <v>FOXO1</v>
      </c>
      <c r="N140" s="0" t="s">
        <v>704</v>
      </c>
      <c r="O140" s="0" t="s">
        <v>46</v>
      </c>
      <c r="P140" s="0" t="s">
        <v>46</v>
      </c>
      <c r="Q140" s="0" t="n">
        <v>0.0216</v>
      </c>
      <c r="R140" s="0" t="n">
        <v>0.011</v>
      </c>
      <c r="S140" s="0" t="n">
        <v>0.0094</v>
      </c>
      <c r="T140" s="0" t="n">
        <v>-1</v>
      </c>
      <c r="U140" s="0" t="n">
        <v>0.0165</v>
      </c>
      <c r="V140" s="0" t="s">
        <v>46</v>
      </c>
      <c r="W140" s="0" t="s">
        <v>46</v>
      </c>
      <c r="X140" s="0" t="s">
        <v>46</v>
      </c>
      <c r="Y140" s="0" t="s">
        <v>46</v>
      </c>
      <c r="Z140" s="0" t="s">
        <v>46</v>
      </c>
      <c r="AA140" s="0" t="s">
        <v>46</v>
      </c>
      <c r="AB140" s="0" t="s">
        <v>46</v>
      </c>
      <c r="AC140" s="0" t="s">
        <v>50</v>
      </c>
      <c r="AD140" s="0" t="s">
        <v>385</v>
      </c>
      <c r="AE140" s="0" t="s">
        <v>990</v>
      </c>
      <c r="AF140" s="0" t="s">
        <v>991</v>
      </c>
      <c r="AG140" s="0" t="s">
        <v>992</v>
      </c>
      <c r="AH140" s="0" t="s">
        <v>993</v>
      </c>
      <c r="AI140" s="0" t="s">
        <v>46</v>
      </c>
      <c r="AJ140" s="0" t="s">
        <v>46</v>
      </c>
      <c r="AK140" s="0" t="s">
        <v>46</v>
      </c>
      <c r="AL140" s="0" t="s">
        <v>46</v>
      </c>
    </row>
    <row r="141" customFormat="false" ht="15" hidden="false" customHeight="false" outlineLevel="0" collapsed="false">
      <c r="B141" s="0" t="str">
        <f aca="false">HYPERLINK("https://genome.ucsc.edu/cgi-bin/hgTracks?db=hg19&amp;position=chr13%3A41194932%2D41194932", "chr13:41194932")</f>
        <v>chr13:41194932</v>
      </c>
      <c r="C141" s="0" t="s">
        <v>139</v>
      </c>
      <c r="D141" s="0" t="n">
        <v>41194932</v>
      </c>
      <c r="E141" s="0" t="n">
        <v>41194932</v>
      </c>
      <c r="F141" s="0" t="s">
        <v>40</v>
      </c>
      <c r="G141" s="0" t="s">
        <v>57</v>
      </c>
      <c r="H141" s="0" t="s">
        <v>994</v>
      </c>
      <c r="I141" s="0" t="s">
        <v>560</v>
      </c>
      <c r="J141" s="0" t="s">
        <v>995</v>
      </c>
      <c r="K141" s="0" t="s">
        <v>46</v>
      </c>
      <c r="L141" s="0" t="str">
        <f aca="false">HYPERLINK("https://www.ncbi.nlm.nih.gov/snp/rs191834779", "rs191834779")</f>
        <v>rs191834779</v>
      </c>
      <c r="M141" s="0" t="str">
        <f aca="false">HYPERLINK("https://www.genecards.org/Search/Keyword?queryString=%5Baliases%5D(%20FOXO1%20)&amp;keywords=FOXO1", "FOXO1")</f>
        <v>FOXO1</v>
      </c>
      <c r="N141" s="0" t="s">
        <v>306</v>
      </c>
      <c r="O141" s="0" t="s">
        <v>46</v>
      </c>
      <c r="P141" s="0" t="s">
        <v>46</v>
      </c>
      <c r="Q141" s="0" t="n">
        <v>0.0113</v>
      </c>
      <c r="R141" s="0" t="n">
        <v>0.01</v>
      </c>
      <c r="S141" s="0" t="n">
        <v>0.0086</v>
      </c>
      <c r="T141" s="0" t="n">
        <v>-1</v>
      </c>
      <c r="U141" s="0" t="n">
        <v>0.0074</v>
      </c>
      <c r="V141" s="0" t="s">
        <v>46</v>
      </c>
      <c r="W141" s="0" t="s">
        <v>46</v>
      </c>
      <c r="X141" s="0" t="s">
        <v>46</v>
      </c>
      <c r="Y141" s="0" t="s">
        <v>46</v>
      </c>
      <c r="Z141" s="0" t="s">
        <v>46</v>
      </c>
      <c r="AA141" s="0" t="s">
        <v>46</v>
      </c>
      <c r="AB141" s="0" t="s">
        <v>46</v>
      </c>
      <c r="AC141" s="0" t="s">
        <v>50</v>
      </c>
      <c r="AD141" s="0" t="s">
        <v>385</v>
      </c>
      <c r="AE141" s="0" t="s">
        <v>990</v>
      </c>
      <c r="AF141" s="0" t="s">
        <v>991</v>
      </c>
      <c r="AG141" s="0" t="s">
        <v>992</v>
      </c>
      <c r="AH141" s="0" t="s">
        <v>993</v>
      </c>
      <c r="AI141" s="0" t="s">
        <v>46</v>
      </c>
      <c r="AJ141" s="0" t="s">
        <v>46</v>
      </c>
      <c r="AK141" s="0" t="s">
        <v>46</v>
      </c>
      <c r="AL141" s="0" t="s">
        <v>46</v>
      </c>
    </row>
    <row r="142" customFormat="false" ht="15" hidden="false" customHeight="false" outlineLevel="0" collapsed="false">
      <c r="B142" s="0" t="str">
        <f aca="false">HYPERLINK("https://genome.ucsc.edu/cgi-bin/hgTracks?db=hg19&amp;position=chr13%3A41194935%2D41194935", "chr13:41194935")</f>
        <v>chr13:41194935</v>
      </c>
      <c r="C142" s="0" t="s">
        <v>139</v>
      </c>
      <c r="D142" s="0" t="n">
        <v>41194935</v>
      </c>
      <c r="E142" s="0" t="n">
        <v>41194935</v>
      </c>
      <c r="F142" s="0" t="s">
        <v>39</v>
      </c>
      <c r="G142" s="0" t="s">
        <v>82</v>
      </c>
      <c r="H142" s="0" t="s">
        <v>994</v>
      </c>
      <c r="I142" s="0" t="s">
        <v>560</v>
      </c>
      <c r="J142" s="0" t="s">
        <v>995</v>
      </c>
      <c r="K142" s="0" t="s">
        <v>46</v>
      </c>
      <c r="L142" s="0" t="s">
        <v>46</v>
      </c>
      <c r="M142" s="0" t="str">
        <f aca="false">HYPERLINK("https://www.genecards.org/Search/Keyword?queryString=%5Baliases%5D(%20FOXO1%20)&amp;keywords=FOXO1", "FOXO1")</f>
        <v>FOXO1</v>
      </c>
      <c r="N142" s="0" t="s">
        <v>306</v>
      </c>
      <c r="O142" s="0" t="s">
        <v>46</v>
      </c>
      <c r="P142" s="0" t="s">
        <v>46</v>
      </c>
      <c r="Q142" s="0" t="n">
        <v>0.0003842</v>
      </c>
      <c r="R142" s="0" t="n">
        <v>-1</v>
      </c>
      <c r="S142" s="0" t="n">
        <v>-1</v>
      </c>
      <c r="T142" s="0" t="n">
        <v>-1</v>
      </c>
      <c r="U142" s="0" t="n">
        <v>-1</v>
      </c>
      <c r="V142" s="0" t="s">
        <v>46</v>
      </c>
      <c r="W142" s="0" t="s">
        <v>46</v>
      </c>
      <c r="X142" s="0" t="s">
        <v>46</v>
      </c>
      <c r="Y142" s="0" t="s">
        <v>46</v>
      </c>
      <c r="Z142" s="0" t="s">
        <v>46</v>
      </c>
      <c r="AA142" s="0" t="s">
        <v>46</v>
      </c>
      <c r="AB142" s="0" t="s">
        <v>46</v>
      </c>
      <c r="AC142" s="0" t="s">
        <v>50</v>
      </c>
      <c r="AD142" s="0" t="s">
        <v>385</v>
      </c>
      <c r="AE142" s="0" t="s">
        <v>990</v>
      </c>
      <c r="AF142" s="0" t="s">
        <v>991</v>
      </c>
      <c r="AG142" s="0" t="s">
        <v>992</v>
      </c>
      <c r="AH142" s="0" t="s">
        <v>993</v>
      </c>
      <c r="AI142" s="0" t="s">
        <v>46</v>
      </c>
      <c r="AJ142" s="0" t="s">
        <v>46</v>
      </c>
      <c r="AK142" s="0" t="s">
        <v>46</v>
      </c>
      <c r="AL142" s="0" t="s">
        <v>46</v>
      </c>
    </row>
    <row r="143" customFormat="false" ht="15" hidden="false" customHeight="false" outlineLevel="0" collapsed="false">
      <c r="B143" s="0" t="str">
        <f aca="false">HYPERLINK("https://genome.ucsc.edu/cgi-bin/hgTracks?db=hg19&amp;position=chr13%3A47351847%2D47351847", "chr13:47351847")</f>
        <v>chr13:47351847</v>
      </c>
      <c r="C143" s="0" t="s">
        <v>139</v>
      </c>
      <c r="D143" s="0" t="n">
        <v>47351847</v>
      </c>
      <c r="E143" s="0" t="n">
        <v>47351847</v>
      </c>
      <c r="F143" s="0" t="s">
        <v>82</v>
      </c>
      <c r="G143" s="0" t="s">
        <v>40</v>
      </c>
      <c r="H143" s="0" t="s">
        <v>996</v>
      </c>
      <c r="I143" s="0" t="s">
        <v>997</v>
      </c>
      <c r="J143" s="0" t="s">
        <v>998</v>
      </c>
      <c r="K143" s="0" t="s">
        <v>46</v>
      </c>
      <c r="L143" s="0" t="str">
        <f aca="false">HYPERLINK("https://www.ncbi.nlm.nih.gov/snp/rs775919961", "rs775919961")</f>
        <v>rs775919961</v>
      </c>
      <c r="M143" s="0" t="str">
        <f aca="false">HYPERLINK("https://www.genecards.org/Search/Keyword?queryString=%5Baliases%5D(%20ESD%20)&amp;keywords=ESD", "ESD")</f>
        <v>ESD</v>
      </c>
      <c r="N143" s="0" t="s">
        <v>45</v>
      </c>
      <c r="O143" s="0" t="s">
        <v>46</v>
      </c>
      <c r="P143" s="0" t="s">
        <v>46</v>
      </c>
      <c r="Q143" s="0" t="n">
        <v>0.0009</v>
      </c>
      <c r="R143" s="0" t="n">
        <v>0.0006</v>
      </c>
      <c r="S143" s="0" t="n">
        <v>0.0006</v>
      </c>
      <c r="T143" s="0" t="n">
        <v>-1</v>
      </c>
      <c r="U143" s="0" t="n">
        <v>0.0009</v>
      </c>
      <c r="V143" s="0" t="s">
        <v>46</v>
      </c>
      <c r="W143" s="0" t="s">
        <v>46</v>
      </c>
      <c r="X143" s="0" t="s">
        <v>47</v>
      </c>
      <c r="Y143" s="0" t="s">
        <v>48</v>
      </c>
      <c r="Z143" s="0" t="s">
        <v>46</v>
      </c>
      <c r="AA143" s="0" t="s">
        <v>46</v>
      </c>
      <c r="AB143" s="0" t="s">
        <v>46</v>
      </c>
      <c r="AC143" s="0" t="s">
        <v>50</v>
      </c>
      <c r="AD143" s="0" t="s">
        <v>51</v>
      </c>
      <c r="AE143" s="0" t="s">
        <v>999</v>
      </c>
      <c r="AF143" s="0" t="s">
        <v>1000</v>
      </c>
      <c r="AG143" s="0" t="s">
        <v>1001</v>
      </c>
      <c r="AH143" s="0" t="s">
        <v>46</v>
      </c>
      <c r="AI143" s="0" t="s">
        <v>46</v>
      </c>
      <c r="AJ143" s="0" t="s">
        <v>46</v>
      </c>
      <c r="AK143" s="0" t="s">
        <v>46</v>
      </c>
      <c r="AL143" s="0" t="s">
        <v>46</v>
      </c>
    </row>
    <row r="144" customFormat="false" ht="15" hidden="false" customHeight="false" outlineLevel="0" collapsed="false">
      <c r="B144" s="0" t="str">
        <f aca="false">HYPERLINK("https://genome.ucsc.edu/cgi-bin/hgTracks?db=hg19&amp;position=chr13%3A50062235%2D50062235", "chr13:50062235")</f>
        <v>chr13:50062235</v>
      </c>
      <c r="C144" s="0" t="s">
        <v>139</v>
      </c>
      <c r="D144" s="0" t="n">
        <v>50062235</v>
      </c>
      <c r="E144" s="0" t="n">
        <v>50062235</v>
      </c>
      <c r="F144" s="0" t="s">
        <v>82</v>
      </c>
      <c r="G144" s="0" t="s">
        <v>39</v>
      </c>
      <c r="H144" s="0" t="s">
        <v>1002</v>
      </c>
      <c r="I144" s="0" t="s">
        <v>1003</v>
      </c>
      <c r="J144" s="0" t="s">
        <v>1004</v>
      </c>
      <c r="K144" s="0" t="s">
        <v>46</v>
      </c>
      <c r="L144" s="0" t="str">
        <f aca="false">HYPERLINK("https://www.ncbi.nlm.nih.gov/snp/rs750099182", "rs750099182")</f>
        <v>rs750099182</v>
      </c>
      <c r="M144" s="0" t="str">
        <f aca="false">HYPERLINK("https://www.genecards.org/Search/Keyword?queryString=%5Baliases%5D(%20SETDB2%20)%20OR%20%5Baliases%5D(%20SETDB2-PHF11%20)&amp;keywords=SETDB2,SETDB2-PHF11", "SETDB2;SETDB2-PHF11")</f>
        <v>SETDB2;SETDB2-PHF11</v>
      </c>
      <c r="N144" s="0" t="s">
        <v>45</v>
      </c>
      <c r="O144" s="0" t="s">
        <v>46</v>
      </c>
      <c r="P144" s="0" t="s">
        <v>46</v>
      </c>
      <c r="Q144" s="0" t="n">
        <v>0.0046</v>
      </c>
      <c r="R144" s="0" t="n">
        <v>0.001</v>
      </c>
      <c r="S144" s="0" t="n">
        <v>0.0012</v>
      </c>
      <c r="T144" s="0" t="n">
        <v>-1</v>
      </c>
      <c r="U144" s="0" t="n">
        <v>0.002</v>
      </c>
      <c r="V144" s="0" t="s">
        <v>46</v>
      </c>
      <c r="W144" s="0" t="s">
        <v>46</v>
      </c>
      <c r="X144" s="0" t="s">
        <v>47</v>
      </c>
      <c r="Y144" s="0" t="s">
        <v>48</v>
      </c>
      <c r="Z144" s="0" t="s">
        <v>46</v>
      </c>
      <c r="AA144" s="0" t="s">
        <v>46</v>
      </c>
      <c r="AB144" s="0" t="s">
        <v>46</v>
      </c>
      <c r="AC144" s="0" t="s">
        <v>50</v>
      </c>
      <c r="AD144" s="0" t="s">
        <v>191</v>
      </c>
      <c r="AE144" s="0" t="s">
        <v>1005</v>
      </c>
      <c r="AF144" s="0" t="s">
        <v>1006</v>
      </c>
      <c r="AG144" s="0" t="s">
        <v>1007</v>
      </c>
      <c r="AH144" s="0" t="s">
        <v>46</v>
      </c>
      <c r="AI144" s="0" t="s">
        <v>46</v>
      </c>
      <c r="AJ144" s="0" t="s">
        <v>46</v>
      </c>
      <c r="AK144" s="0" t="s">
        <v>46</v>
      </c>
      <c r="AL144" s="0" t="s">
        <v>46</v>
      </c>
    </row>
    <row r="145" customFormat="false" ht="15" hidden="false" customHeight="false" outlineLevel="0" collapsed="false">
      <c r="B145" s="0" t="str">
        <f aca="false">HYPERLINK("https://genome.ucsc.edu/cgi-bin/hgTracks?db=hg19&amp;position=chr13%3A101735355%2D101735355", "chr13:101735355")</f>
        <v>chr13:101735355</v>
      </c>
      <c r="C145" s="0" t="s">
        <v>139</v>
      </c>
      <c r="D145" s="0" t="n">
        <v>101735355</v>
      </c>
      <c r="E145" s="0" t="n">
        <v>101735355</v>
      </c>
      <c r="F145" s="0" t="s">
        <v>40</v>
      </c>
      <c r="G145" s="0" t="s">
        <v>82</v>
      </c>
      <c r="H145" s="0" t="s">
        <v>1008</v>
      </c>
      <c r="I145" s="0" t="s">
        <v>1009</v>
      </c>
      <c r="J145" s="0" t="s">
        <v>1010</v>
      </c>
      <c r="K145" s="0" t="s">
        <v>46</v>
      </c>
      <c r="L145" s="0" t="str">
        <f aca="false">HYPERLINK("https://www.ncbi.nlm.nih.gov/snp/rs17581591", "rs17581591")</f>
        <v>rs17581591</v>
      </c>
      <c r="M145" s="0" t="str">
        <f aca="false">HYPERLINK("https://www.genecards.org/Search/Keyword?queryString=%5Baliases%5D(%20NALCN%20)&amp;keywords=NALCN", "NALCN")</f>
        <v>NALCN</v>
      </c>
      <c r="N145" s="0" t="s">
        <v>45</v>
      </c>
      <c r="O145" s="0" t="s">
        <v>46</v>
      </c>
      <c r="P145" s="0" t="s">
        <v>46</v>
      </c>
      <c r="Q145" s="0" t="n">
        <v>0.0276</v>
      </c>
      <c r="R145" s="0" t="n">
        <v>0.0254</v>
      </c>
      <c r="S145" s="0" t="n">
        <v>0.024</v>
      </c>
      <c r="T145" s="0" t="n">
        <v>-1</v>
      </c>
      <c r="U145" s="0" t="n">
        <v>0.0315</v>
      </c>
      <c r="V145" s="0" t="s">
        <v>46</v>
      </c>
      <c r="W145" s="0" t="s">
        <v>46</v>
      </c>
      <c r="X145" s="0" t="s">
        <v>354</v>
      </c>
      <c r="Y145" s="0" t="s">
        <v>48</v>
      </c>
      <c r="Z145" s="0" t="s">
        <v>46</v>
      </c>
      <c r="AA145" s="0" t="s">
        <v>46</v>
      </c>
      <c r="AB145" s="0" t="s">
        <v>46</v>
      </c>
      <c r="AC145" s="0" t="s">
        <v>50</v>
      </c>
      <c r="AD145" s="0" t="s">
        <v>51</v>
      </c>
      <c r="AE145" s="0" t="s">
        <v>1011</v>
      </c>
      <c r="AF145" s="0" t="s">
        <v>1012</v>
      </c>
      <c r="AG145" s="0" t="s">
        <v>1013</v>
      </c>
      <c r="AH145" s="0" t="s">
        <v>1014</v>
      </c>
      <c r="AI145" s="0" t="s">
        <v>46</v>
      </c>
      <c r="AJ145" s="0" t="s">
        <v>46</v>
      </c>
      <c r="AK145" s="0" t="s">
        <v>46</v>
      </c>
      <c r="AL145" s="0" t="s">
        <v>46</v>
      </c>
    </row>
    <row r="146" customFormat="false" ht="15" hidden="false" customHeight="false" outlineLevel="0" collapsed="false">
      <c r="B146" s="0" t="str">
        <f aca="false">HYPERLINK("https://genome.ucsc.edu/cgi-bin/hgTracks?db=hg19&amp;position=chr14%3A36986272%2D36986272", "chr14:36986272")</f>
        <v>chr14:36986272</v>
      </c>
      <c r="C146" s="0" t="s">
        <v>1015</v>
      </c>
      <c r="D146" s="0" t="n">
        <v>36986272</v>
      </c>
      <c r="E146" s="0" t="n">
        <v>36986272</v>
      </c>
      <c r="F146" s="0" t="s">
        <v>185</v>
      </c>
      <c r="G146" s="0" t="s">
        <v>1016</v>
      </c>
      <c r="H146" s="0" t="s">
        <v>1017</v>
      </c>
      <c r="I146" s="0" t="s">
        <v>1018</v>
      </c>
      <c r="J146" s="0" t="s">
        <v>1019</v>
      </c>
      <c r="K146" s="0" t="s">
        <v>46</v>
      </c>
      <c r="L146" s="0" t="s">
        <v>46</v>
      </c>
      <c r="M146" s="0" t="str">
        <f aca="false">HYPERLINK("https://www.genecards.org/Search/Keyword?queryString=%5Baliases%5D(%20NKX2-1%20)%20OR%20%5Baliases%5D(%20SFTA3%20)&amp;keywords=NKX2-1,SFTA3", "NKX2-1;SFTA3")</f>
        <v>NKX2-1;SFTA3</v>
      </c>
      <c r="N146" s="0" t="s">
        <v>208</v>
      </c>
      <c r="O146" s="0" t="s">
        <v>46</v>
      </c>
      <c r="P146" s="0" t="s">
        <v>1020</v>
      </c>
      <c r="Q146" s="0" t="n">
        <v>0.0016</v>
      </c>
      <c r="R146" s="0" t="n">
        <v>0.0015</v>
      </c>
      <c r="S146" s="0" t="n">
        <v>0.0009</v>
      </c>
      <c r="T146" s="0" t="n">
        <v>-1</v>
      </c>
      <c r="U146" s="0" t="n">
        <v>0.0016</v>
      </c>
      <c r="V146" s="0" t="s">
        <v>46</v>
      </c>
      <c r="W146" s="0" t="s">
        <v>46</v>
      </c>
      <c r="X146" s="0" t="s">
        <v>46</v>
      </c>
      <c r="Y146" s="0" t="s">
        <v>46</v>
      </c>
      <c r="Z146" s="0" t="s">
        <v>46</v>
      </c>
      <c r="AA146" s="0" t="s">
        <v>46</v>
      </c>
      <c r="AB146" s="0" t="s">
        <v>46</v>
      </c>
      <c r="AC146" s="0" t="s">
        <v>50</v>
      </c>
      <c r="AD146" s="0" t="s">
        <v>191</v>
      </c>
      <c r="AE146" s="0" t="s">
        <v>1021</v>
      </c>
      <c r="AF146" s="0" t="s">
        <v>1022</v>
      </c>
      <c r="AG146" s="0" t="s">
        <v>1023</v>
      </c>
      <c r="AH146" s="0" t="s">
        <v>1024</v>
      </c>
      <c r="AI146" s="0" t="s">
        <v>46</v>
      </c>
      <c r="AJ146" s="0" t="s">
        <v>46</v>
      </c>
      <c r="AK146" s="0" t="s">
        <v>46</v>
      </c>
      <c r="AL146" s="0" t="s">
        <v>46</v>
      </c>
    </row>
    <row r="147" customFormat="false" ht="15" hidden="false" customHeight="false" outlineLevel="0" collapsed="false">
      <c r="B147" s="0" t="str">
        <f aca="false">HYPERLINK("https://genome.ucsc.edu/cgi-bin/hgTracks?db=hg19&amp;position=chr14%3A64911477%2D64911477", "chr14:64911477")</f>
        <v>chr14:64911477</v>
      </c>
      <c r="C147" s="0" t="s">
        <v>1015</v>
      </c>
      <c r="D147" s="0" t="n">
        <v>64911477</v>
      </c>
      <c r="E147" s="0" t="n">
        <v>64911477</v>
      </c>
      <c r="F147" s="0" t="s">
        <v>39</v>
      </c>
      <c r="G147" s="0" t="s">
        <v>57</v>
      </c>
      <c r="H147" s="0" t="s">
        <v>1025</v>
      </c>
      <c r="I147" s="0" t="s">
        <v>416</v>
      </c>
      <c r="J147" s="0" t="s">
        <v>1026</v>
      </c>
      <c r="K147" s="0" t="s">
        <v>46</v>
      </c>
      <c r="L147" s="0" t="str">
        <f aca="false">HYPERLINK("https://www.ncbi.nlm.nih.gov/snp/rs139279657", "rs139279657")</f>
        <v>rs139279657</v>
      </c>
      <c r="M147" s="0" t="str">
        <f aca="false">HYPERLINK("https://www.genecards.org/Search/Keyword?queryString=%5Baliases%5D(%20MTHFD1%20)&amp;keywords=MTHFD1", "MTHFD1")</f>
        <v>MTHFD1</v>
      </c>
      <c r="N147" s="0" t="s">
        <v>306</v>
      </c>
      <c r="O147" s="0" t="s">
        <v>46</v>
      </c>
      <c r="P147" s="0" t="s">
        <v>46</v>
      </c>
      <c r="Q147" s="0" t="n">
        <v>0.0138</v>
      </c>
      <c r="R147" s="0" t="n">
        <v>0.0137</v>
      </c>
      <c r="S147" s="0" t="n">
        <v>0.0124</v>
      </c>
      <c r="T147" s="0" t="n">
        <v>-1</v>
      </c>
      <c r="U147" s="0" t="n">
        <v>0.0148</v>
      </c>
      <c r="V147" s="0" t="s">
        <v>46</v>
      </c>
      <c r="W147" s="0" t="s">
        <v>46</v>
      </c>
      <c r="X147" s="0" t="s">
        <v>307</v>
      </c>
      <c r="Y147" s="0" t="s">
        <v>48</v>
      </c>
      <c r="Z147" s="0" t="s">
        <v>46</v>
      </c>
      <c r="AA147" s="0" t="s">
        <v>46</v>
      </c>
      <c r="AB147" s="0" t="s">
        <v>46</v>
      </c>
      <c r="AC147" s="0" t="s">
        <v>50</v>
      </c>
      <c r="AD147" s="0" t="s">
        <v>51</v>
      </c>
      <c r="AE147" s="0" t="s">
        <v>1027</v>
      </c>
      <c r="AF147" s="0" t="s">
        <v>1028</v>
      </c>
      <c r="AG147" s="0" t="s">
        <v>46</v>
      </c>
      <c r="AH147" s="0" t="s">
        <v>1029</v>
      </c>
      <c r="AI147" s="0" t="s">
        <v>46</v>
      </c>
      <c r="AJ147" s="0" t="s">
        <v>46</v>
      </c>
      <c r="AK147" s="0" t="s">
        <v>46</v>
      </c>
      <c r="AL147" s="0" t="s">
        <v>46</v>
      </c>
    </row>
    <row r="148" customFormat="false" ht="15" hidden="false" customHeight="false" outlineLevel="0" collapsed="false">
      <c r="B148" s="0" t="str">
        <f aca="false">HYPERLINK("https://genome.ucsc.edu/cgi-bin/hgTracks?db=hg19&amp;position=chr14%3A68271152%2D68271152", "chr14:68271152")</f>
        <v>chr14:68271152</v>
      </c>
      <c r="C148" s="0" t="s">
        <v>1015</v>
      </c>
      <c r="D148" s="0" t="n">
        <v>68271152</v>
      </c>
      <c r="E148" s="0" t="n">
        <v>68271152</v>
      </c>
      <c r="F148" s="0" t="s">
        <v>40</v>
      </c>
      <c r="G148" s="0" t="s">
        <v>82</v>
      </c>
      <c r="H148" s="0" t="s">
        <v>1030</v>
      </c>
      <c r="I148" s="0" t="s">
        <v>909</v>
      </c>
      <c r="J148" s="0" t="s">
        <v>1031</v>
      </c>
      <c r="K148" s="0" t="s">
        <v>46</v>
      </c>
      <c r="L148" s="0" t="s">
        <v>46</v>
      </c>
      <c r="M148" s="0" t="str">
        <f aca="false">HYPERLINK("https://www.genecards.org/Search/Keyword?queryString=%5Baliases%5D(%20ZFYVE26%20)&amp;keywords=ZFYVE26", "ZFYVE26")</f>
        <v>ZFYVE26</v>
      </c>
      <c r="N148" s="0" t="s">
        <v>45</v>
      </c>
      <c r="O148" s="0" t="s">
        <v>46</v>
      </c>
      <c r="P148" s="0" t="s">
        <v>46</v>
      </c>
      <c r="Q148" s="0" t="n">
        <v>-1</v>
      </c>
      <c r="R148" s="0" t="n">
        <v>-1</v>
      </c>
      <c r="S148" s="0" t="n">
        <v>-1</v>
      </c>
      <c r="T148" s="0" t="n">
        <v>-1</v>
      </c>
      <c r="U148" s="0" t="n">
        <v>-1</v>
      </c>
      <c r="V148" s="0" t="s">
        <v>46</v>
      </c>
      <c r="W148" s="0" t="s">
        <v>46</v>
      </c>
      <c r="X148" s="0" t="s">
        <v>354</v>
      </c>
      <c r="Y148" s="0" t="s">
        <v>48</v>
      </c>
      <c r="Z148" s="0" t="s">
        <v>46</v>
      </c>
      <c r="AA148" s="0" t="s">
        <v>46</v>
      </c>
      <c r="AB148" s="0" t="s">
        <v>46</v>
      </c>
      <c r="AC148" s="0" t="s">
        <v>50</v>
      </c>
      <c r="AD148" s="0" t="s">
        <v>51</v>
      </c>
      <c r="AE148" s="0" t="s">
        <v>1032</v>
      </c>
      <c r="AF148" s="0" t="s">
        <v>1033</v>
      </c>
      <c r="AG148" s="0" t="s">
        <v>1034</v>
      </c>
      <c r="AH148" s="0" t="s">
        <v>1035</v>
      </c>
      <c r="AI148" s="0" t="s">
        <v>46</v>
      </c>
      <c r="AJ148" s="0" t="s">
        <v>46</v>
      </c>
      <c r="AK148" s="0" t="s">
        <v>46</v>
      </c>
      <c r="AL148" s="0" t="s">
        <v>46</v>
      </c>
    </row>
    <row r="149" customFormat="false" ht="15" hidden="false" customHeight="false" outlineLevel="0" collapsed="false">
      <c r="B149" s="0" t="str">
        <f aca="false">HYPERLINK("https://genome.ucsc.edu/cgi-bin/hgTracks?db=hg19&amp;position=chr14%3A75471406%2D75471406", "chr14:75471406")</f>
        <v>chr14:75471406</v>
      </c>
      <c r="C149" s="0" t="s">
        <v>1015</v>
      </c>
      <c r="D149" s="0" t="n">
        <v>75471406</v>
      </c>
      <c r="E149" s="0" t="n">
        <v>75471406</v>
      </c>
      <c r="F149" s="0" t="s">
        <v>82</v>
      </c>
      <c r="G149" s="0" t="s">
        <v>57</v>
      </c>
      <c r="H149" s="0" t="s">
        <v>1036</v>
      </c>
      <c r="I149" s="0" t="s">
        <v>1003</v>
      </c>
      <c r="J149" s="0" t="s">
        <v>1037</v>
      </c>
      <c r="K149" s="0" t="s">
        <v>46</v>
      </c>
      <c r="L149" s="0" t="str">
        <f aca="false">HYPERLINK("https://www.ncbi.nlm.nih.gov/snp/rs776167952", "rs776167952")</f>
        <v>rs776167952</v>
      </c>
      <c r="M149" s="0" t="str">
        <f aca="false">HYPERLINK("https://www.genecards.org/Search/Keyword?queryString=%5Baliases%5D(%20EIF2B2%20)&amp;keywords=EIF2B2", "EIF2B2")</f>
        <v>EIF2B2</v>
      </c>
      <c r="N149" s="0" t="s">
        <v>45</v>
      </c>
      <c r="O149" s="0" t="s">
        <v>46</v>
      </c>
      <c r="P149" s="0" t="s">
        <v>46</v>
      </c>
      <c r="Q149" s="0" t="n">
        <v>0.0029</v>
      </c>
      <c r="R149" s="0" t="n">
        <v>0.0025</v>
      </c>
      <c r="S149" s="0" t="n">
        <v>0.0022</v>
      </c>
      <c r="T149" s="0" t="n">
        <v>-1</v>
      </c>
      <c r="U149" s="0" t="n">
        <v>0.0019</v>
      </c>
      <c r="V149" s="0" t="s">
        <v>46</v>
      </c>
      <c r="W149" s="0" t="s">
        <v>46</v>
      </c>
      <c r="X149" s="0" t="s">
        <v>354</v>
      </c>
      <c r="Y149" s="0" t="s">
        <v>48</v>
      </c>
      <c r="Z149" s="0" t="s">
        <v>46</v>
      </c>
      <c r="AA149" s="0" t="s">
        <v>46</v>
      </c>
      <c r="AB149" s="0" t="s">
        <v>46</v>
      </c>
      <c r="AC149" s="0" t="s">
        <v>50</v>
      </c>
      <c r="AD149" s="0" t="s">
        <v>51</v>
      </c>
      <c r="AE149" s="0" t="s">
        <v>1038</v>
      </c>
      <c r="AF149" s="0" t="s">
        <v>1039</v>
      </c>
      <c r="AG149" s="0" t="s">
        <v>1040</v>
      </c>
      <c r="AH149" s="0" t="s">
        <v>1041</v>
      </c>
      <c r="AI149" s="0" t="s">
        <v>46</v>
      </c>
      <c r="AJ149" s="0" t="s">
        <v>46</v>
      </c>
      <c r="AK149" s="0" t="s">
        <v>46</v>
      </c>
      <c r="AL149" s="0" t="s">
        <v>46</v>
      </c>
    </row>
    <row r="150" customFormat="false" ht="15" hidden="false" customHeight="false" outlineLevel="0" collapsed="false">
      <c r="B150" s="0" t="str">
        <f aca="false">HYPERLINK("https://genome.ucsc.edu/cgi-bin/hgTracks?db=hg19&amp;position=chr14%3A76966500%2D76966500", "chr14:76966500")</f>
        <v>chr14:76966500</v>
      </c>
      <c r="C150" s="0" t="s">
        <v>1015</v>
      </c>
      <c r="D150" s="0" t="n">
        <v>76966500</v>
      </c>
      <c r="E150" s="0" t="n">
        <v>76966500</v>
      </c>
      <c r="F150" s="0" t="s">
        <v>40</v>
      </c>
      <c r="G150" s="0" t="s">
        <v>82</v>
      </c>
      <c r="H150" s="0" t="s">
        <v>1042</v>
      </c>
      <c r="I150" s="0" t="s">
        <v>1043</v>
      </c>
      <c r="J150" s="0" t="s">
        <v>1044</v>
      </c>
      <c r="K150" s="0" t="s">
        <v>46</v>
      </c>
      <c r="L150" s="0" t="str">
        <f aca="false">HYPERLINK("https://www.ncbi.nlm.nih.gov/snp/rs766773182", "rs766773182")</f>
        <v>rs766773182</v>
      </c>
      <c r="M150" s="0" t="str">
        <f aca="false">HYPERLINK("https://www.genecards.org/Search/Keyword?queryString=%5Baliases%5D(%20ESRRB%20)&amp;keywords=ESRRB", "ESRRB")</f>
        <v>ESRRB</v>
      </c>
      <c r="N150" s="0" t="s">
        <v>306</v>
      </c>
      <c r="O150" s="0" t="s">
        <v>46</v>
      </c>
      <c r="P150" s="0" t="s">
        <v>46</v>
      </c>
      <c r="Q150" s="0" t="n">
        <v>0.0006</v>
      </c>
      <c r="R150" s="0" t="n">
        <v>0.0007</v>
      </c>
      <c r="S150" s="0" t="n">
        <v>0.0006</v>
      </c>
      <c r="T150" s="0" t="n">
        <v>-1</v>
      </c>
      <c r="U150" s="0" t="n">
        <v>0.0011</v>
      </c>
      <c r="V150" s="0" t="s">
        <v>46</v>
      </c>
      <c r="W150" s="0" t="s">
        <v>46</v>
      </c>
      <c r="X150" s="0" t="s">
        <v>307</v>
      </c>
      <c r="Y150" s="0" t="s">
        <v>48</v>
      </c>
      <c r="Z150" s="0" t="s">
        <v>46</v>
      </c>
      <c r="AA150" s="0" t="s">
        <v>46</v>
      </c>
      <c r="AB150" s="0" t="s">
        <v>46</v>
      </c>
      <c r="AC150" s="0" t="s">
        <v>50</v>
      </c>
      <c r="AD150" s="0" t="s">
        <v>51</v>
      </c>
      <c r="AE150" s="0" t="s">
        <v>1045</v>
      </c>
      <c r="AF150" s="0" t="s">
        <v>1046</v>
      </c>
      <c r="AG150" s="0" t="s">
        <v>1047</v>
      </c>
      <c r="AH150" s="0" t="s">
        <v>1048</v>
      </c>
      <c r="AI150" s="0" t="s">
        <v>46</v>
      </c>
      <c r="AJ150" s="0" t="s">
        <v>46</v>
      </c>
      <c r="AK150" s="0" t="s">
        <v>46</v>
      </c>
      <c r="AL150" s="0" t="s">
        <v>46</v>
      </c>
    </row>
    <row r="151" customFormat="false" ht="15" hidden="false" customHeight="false" outlineLevel="0" collapsed="false">
      <c r="B151" s="0" t="str">
        <f aca="false">HYPERLINK("https://genome.ucsc.edu/cgi-bin/hgTracks?db=hg19&amp;position=chr14%3A77333782%2D77333782", "chr14:77333782")</f>
        <v>chr14:77333782</v>
      </c>
      <c r="C151" s="0" t="s">
        <v>1015</v>
      </c>
      <c r="D151" s="0" t="n">
        <v>77333782</v>
      </c>
      <c r="E151" s="0" t="n">
        <v>77333782</v>
      </c>
      <c r="F151" s="0" t="s">
        <v>39</v>
      </c>
      <c r="G151" s="0" t="s">
        <v>57</v>
      </c>
      <c r="H151" s="0" t="s">
        <v>1049</v>
      </c>
      <c r="I151" s="0" t="s">
        <v>1050</v>
      </c>
      <c r="J151" s="0" t="s">
        <v>1051</v>
      </c>
      <c r="K151" s="0" t="s">
        <v>46</v>
      </c>
      <c r="L151" s="0" t="str">
        <f aca="false">HYPERLINK("https://www.ncbi.nlm.nih.gov/snp/rs202168644", "rs202168644")</f>
        <v>rs202168644</v>
      </c>
      <c r="M151" s="0" t="str">
        <f aca="false">HYPERLINK("https://www.genecards.org/Search/Keyword?queryString=%5Baliases%5D(%20C14orf166B%20)%20OR%20%5Baliases%5D(%20LRRC74A%20)&amp;keywords=C14orf166B,LRRC74A", "C14orf166B;LRRC74A")</f>
        <v>C14orf166B;LRRC74A</v>
      </c>
      <c r="N151" s="0" t="s">
        <v>602</v>
      </c>
      <c r="O151" s="0" t="s">
        <v>46</v>
      </c>
      <c r="P151" s="0" t="s">
        <v>1052</v>
      </c>
      <c r="Q151" s="0" t="n">
        <v>0.001</v>
      </c>
      <c r="R151" s="0" t="n">
        <v>0.0012</v>
      </c>
      <c r="S151" s="0" t="n">
        <v>0.001</v>
      </c>
      <c r="T151" s="0" t="n">
        <v>-1</v>
      </c>
      <c r="U151" s="0" t="n">
        <v>0.0018</v>
      </c>
      <c r="V151" s="0" t="s">
        <v>384</v>
      </c>
      <c r="W151" s="0" t="s">
        <v>47</v>
      </c>
      <c r="X151" s="0" t="s">
        <v>47</v>
      </c>
      <c r="Y151" s="0" t="s">
        <v>200</v>
      </c>
      <c r="Z151" s="0" t="s">
        <v>114</v>
      </c>
      <c r="AA151" s="0" t="s">
        <v>46</v>
      </c>
      <c r="AB151" s="0" t="s">
        <v>46</v>
      </c>
      <c r="AC151" s="0" t="s">
        <v>50</v>
      </c>
      <c r="AD151" s="0" t="s">
        <v>191</v>
      </c>
      <c r="AE151" s="0" t="s">
        <v>46</v>
      </c>
      <c r="AF151" s="0" t="s">
        <v>1053</v>
      </c>
      <c r="AG151" s="0" t="s">
        <v>46</v>
      </c>
      <c r="AH151" s="0" t="s">
        <v>46</v>
      </c>
      <c r="AI151" s="0" t="s">
        <v>46</v>
      </c>
      <c r="AJ151" s="0" t="s">
        <v>46</v>
      </c>
      <c r="AK151" s="0" t="s">
        <v>46</v>
      </c>
      <c r="AL151" s="0" t="s">
        <v>46</v>
      </c>
    </row>
    <row r="152" customFormat="false" ht="15" hidden="false" customHeight="false" outlineLevel="0" collapsed="false">
      <c r="B152" s="0" t="str">
        <f aca="false">HYPERLINK("https://genome.ucsc.edu/cgi-bin/hgTracks?db=hg19&amp;position=chr14%3A81574687%2D81574687", "chr14:81574687")</f>
        <v>chr14:81574687</v>
      </c>
      <c r="C152" s="0" t="s">
        <v>1015</v>
      </c>
      <c r="D152" s="0" t="n">
        <v>81574687</v>
      </c>
      <c r="E152" s="0" t="n">
        <v>81574687</v>
      </c>
      <c r="F152" s="0" t="s">
        <v>185</v>
      </c>
      <c r="G152" s="0" t="s">
        <v>939</v>
      </c>
      <c r="H152" s="0" t="s">
        <v>1054</v>
      </c>
      <c r="I152" s="0" t="s">
        <v>1055</v>
      </c>
      <c r="J152" s="0" t="s">
        <v>1056</v>
      </c>
      <c r="K152" s="0" t="s">
        <v>46</v>
      </c>
      <c r="L152" s="0" t="s">
        <v>46</v>
      </c>
      <c r="M152" s="0" t="str">
        <f aca="false">HYPERLINK("https://www.genecards.org/Search/Keyword?queryString=%5Baliases%5D(%20TSHR%20)&amp;keywords=TSHR", "TSHR")</f>
        <v>TSHR</v>
      </c>
      <c r="N152" s="0" t="s">
        <v>306</v>
      </c>
      <c r="O152" s="0" t="s">
        <v>46</v>
      </c>
      <c r="P152" s="0" t="s">
        <v>46</v>
      </c>
      <c r="Q152" s="0" t="n">
        <v>0.0123</v>
      </c>
      <c r="R152" s="0" t="n">
        <v>0.0027</v>
      </c>
      <c r="S152" s="0" t="n">
        <v>0.0019</v>
      </c>
      <c r="T152" s="0" t="n">
        <v>-1</v>
      </c>
      <c r="U152" s="0" t="n">
        <v>0.0046</v>
      </c>
      <c r="V152" s="0" t="s">
        <v>46</v>
      </c>
      <c r="W152" s="0" t="s">
        <v>46</v>
      </c>
      <c r="X152" s="0" t="s">
        <v>46</v>
      </c>
      <c r="Y152" s="0" t="s">
        <v>46</v>
      </c>
      <c r="Z152" s="0" t="s">
        <v>46</v>
      </c>
      <c r="AA152" s="0" t="s">
        <v>46</v>
      </c>
      <c r="AB152" s="0" t="s">
        <v>46</v>
      </c>
      <c r="AC152" s="0" t="s">
        <v>254</v>
      </c>
      <c r="AD152" s="0" t="s">
        <v>147</v>
      </c>
      <c r="AE152" s="0" t="s">
        <v>1057</v>
      </c>
      <c r="AF152" s="0" t="s">
        <v>1058</v>
      </c>
      <c r="AG152" s="0" t="s">
        <v>1059</v>
      </c>
      <c r="AH152" s="0" t="s">
        <v>1060</v>
      </c>
      <c r="AI152" s="0" t="s">
        <v>46</v>
      </c>
      <c r="AJ152" s="0" t="s">
        <v>46</v>
      </c>
      <c r="AK152" s="0" t="s">
        <v>46</v>
      </c>
      <c r="AL152" s="0" t="s">
        <v>46</v>
      </c>
    </row>
    <row r="153" customFormat="false" ht="15" hidden="false" customHeight="false" outlineLevel="0" collapsed="false">
      <c r="B153" s="0" t="str">
        <f aca="false">HYPERLINK("https://genome.ucsc.edu/cgi-bin/hgTracks?db=hg19&amp;position=chr14%3A81574845%2D81574845", "chr14:81574845")</f>
        <v>chr14:81574845</v>
      </c>
      <c r="C153" s="0" t="s">
        <v>1015</v>
      </c>
      <c r="D153" s="0" t="n">
        <v>81574845</v>
      </c>
      <c r="E153" s="0" t="n">
        <v>81574845</v>
      </c>
      <c r="F153" s="0" t="s">
        <v>185</v>
      </c>
      <c r="G153" s="0" t="s">
        <v>1061</v>
      </c>
      <c r="H153" s="0" t="s">
        <v>1062</v>
      </c>
      <c r="I153" s="0" t="s">
        <v>1063</v>
      </c>
      <c r="J153" s="0" t="s">
        <v>1064</v>
      </c>
      <c r="K153" s="0" t="s">
        <v>46</v>
      </c>
      <c r="L153" s="0" t="s">
        <v>46</v>
      </c>
      <c r="M153" s="0" t="str">
        <f aca="false">HYPERLINK("https://www.genecards.org/Search/Keyword?queryString=%5Baliases%5D(%20TSHR%20)&amp;keywords=TSHR", "TSHR")</f>
        <v>TSHR</v>
      </c>
      <c r="N153" s="0" t="s">
        <v>306</v>
      </c>
      <c r="O153" s="0" t="s">
        <v>46</v>
      </c>
      <c r="P153" s="0" t="s">
        <v>46</v>
      </c>
      <c r="Q153" s="0" t="n">
        <v>0.008</v>
      </c>
      <c r="R153" s="0" t="n">
        <v>0.0017</v>
      </c>
      <c r="S153" s="0" t="n">
        <v>0.0002</v>
      </c>
      <c r="T153" s="0" t="n">
        <v>-1</v>
      </c>
      <c r="U153" s="0" t="n">
        <v>0.0003</v>
      </c>
      <c r="V153" s="0" t="s">
        <v>46</v>
      </c>
      <c r="W153" s="0" t="s">
        <v>46</v>
      </c>
      <c r="X153" s="0" t="s">
        <v>46</v>
      </c>
      <c r="Y153" s="0" t="s">
        <v>46</v>
      </c>
      <c r="Z153" s="0" t="s">
        <v>46</v>
      </c>
      <c r="AA153" s="0" t="s">
        <v>46</v>
      </c>
      <c r="AB153" s="0" t="s">
        <v>46</v>
      </c>
      <c r="AC153" s="0" t="s">
        <v>254</v>
      </c>
      <c r="AD153" s="0" t="s">
        <v>147</v>
      </c>
      <c r="AE153" s="0" t="s">
        <v>1057</v>
      </c>
      <c r="AF153" s="0" t="s">
        <v>1058</v>
      </c>
      <c r="AG153" s="0" t="s">
        <v>1059</v>
      </c>
      <c r="AH153" s="0" t="s">
        <v>1060</v>
      </c>
      <c r="AI153" s="0" t="s">
        <v>46</v>
      </c>
      <c r="AJ153" s="0" t="s">
        <v>46</v>
      </c>
      <c r="AK153" s="0" t="s">
        <v>46</v>
      </c>
      <c r="AL153" s="0" t="s">
        <v>46</v>
      </c>
    </row>
    <row r="154" customFormat="false" ht="15" hidden="false" customHeight="false" outlineLevel="0" collapsed="false">
      <c r="B154" s="0" t="str">
        <f aca="false">HYPERLINK("https://genome.ucsc.edu/cgi-bin/hgTracks?db=hg19&amp;position=chr14%3A97300065%2D97300065", "chr14:97300065")</f>
        <v>chr14:97300065</v>
      </c>
      <c r="C154" s="0" t="s">
        <v>1015</v>
      </c>
      <c r="D154" s="0" t="n">
        <v>97300065</v>
      </c>
      <c r="E154" s="0" t="n">
        <v>97300065</v>
      </c>
      <c r="F154" s="0" t="s">
        <v>57</v>
      </c>
      <c r="G154" s="0" t="s">
        <v>39</v>
      </c>
      <c r="H154" s="0" t="s">
        <v>1065</v>
      </c>
      <c r="I154" s="0" t="s">
        <v>1066</v>
      </c>
      <c r="J154" s="0" t="s">
        <v>1067</v>
      </c>
      <c r="K154" s="0" t="s">
        <v>46</v>
      </c>
      <c r="L154" s="0" t="str">
        <f aca="false">HYPERLINK("https://www.ncbi.nlm.nih.gov/snp/rs188914224", "rs188914224")</f>
        <v>rs188914224</v>
      </c>
      <c r="M154" s="0" t="str">
        <f aca="false">HYPERLINK("https://www.genecards.org/Search/Keyword?queryString=%5Baliases%5D(%20VRK1%20)&amp;keywords=VRK1", "VRK1")</f>
        <v>VRK1</v>
      </c>
      <c r="N154" s="0" t="s">
        <v>45</v>
      </c>
      <c r="O154" s="0" t="s">
        <v>46</v>
      </c>
      <c r="P154" s="0" t="s">
        <v>46</v>
      </c>
      <c r="Q154" s="0" t="n">
        <v>0.004</v>
      </c>
      <c r="R154" s="0" t="n">
        <v>0.0029</v>
      </c>
      <c r="S154" s="0" t="n">
        <v>0.0034</v>
      </c>
      <c r="T154" s="0" t="n">
        <v>-1</v>
      </c>
      <c r="U154" s="0" t="n">
        <v>0.002</v>
      </c>
      <c r="V154" s="0" t="s">
        <v>46</v>
      </c>
      <c r="W154" s="0" t="s">
        <v>46</v>
      </c>
      <c r="X154" s="0" t="s">
        <v>47</v>
      </c>
      <c r="Y154" s="0" t="s">
        <v>48</v>
      </c>
      <c r="Z154" s="0" t="s">
        <v>46</v>
      </c>
      <c r="AA154" s="0" t="s">
        <v>46</v>
      </c>
      <c r="AB154" s="0" t="s">
        <v>46</v>
      </c>
      <c r="AC154" s="0" t="s">
        <v>50</v>
      </c>
      <c r="AD154" s="0" t="s">
        <v>51</v>
      </c>
      <c r="AE154" s="0" t="s">
        <v>1068</v>
      </c>
      <c r="AF154" s="0" t="s">
        <v>1069</v>
      </c>
      <c r="AG154" s="0" t="s">
        <v>1070</v>
      </c>
      <c r="AH154" s="0" t="s">
        <v>1071</v>
      </c>
      <c r="AI154" s="0" t="s">
        <v>46</v>
      </c>
      <c r="AJ154" s="0" t="s">
        <v>46</v>
      </c>
      <c r="AK154" s="0" t="s">
        <v>46</v>
      </c>
      <c r="AL154" s="0" t="s">
        <v>46</v>
      </c>
    </row>
    <row r="155" customFormat="false" ht="15" hidden="false" customHeight="false" outlineLevel="0" collapsed="false">
      <c r="B155" s="0" t="str">
        <f aca="false">HYPERLINK("https://genome.ucsc.edu/cgi-bin/hgTracks?db=hg19&amp;position=chr14%3A107048726%2D107048726", "chr14:107048726")</f>
        <v>chr14:107048726</v>
      </c>
      <c r="C155" s="0" t="s">
        <v>1015</v>
      </c>
      <c r="D155" s="0" t="n">
        <v>107048726</v>
      </c>
      <c r="E155" s="0" t="n">
        <v>107048726</v>
      </c>
      <c r="F155" s="0" t="s">
        <v>57</v>
      </c>
      <c r="G155" s="0" t="s">
        <v>185</v>
      </c>
      <c r="H155" s="0" t="s">
        <v>1072</v>
      </c>
      <c r="I155" s="0" t="s">
        <v>1073</v>
      </c>
      <c r="J155" s="0" t="s">
        <v>1074</v>
      </c>
      <c r="K155" s="0" t="s">
        <v>46</v>
      </c>
      <c r="L155" s="0" t="str">
        <f aca="false">HYPERLINK("https://www.ncbi.nlm.nih.gov/snp/rs200210744", "rs200210744")</f>
        <v>rs200210744</v>
      </c>
      <c r="M155" s="0" t="str">
        <f aca="false">HYPERLINK("https://www.genecards.org/Search/Keyword?queryString=%5Baliases%5D(%20abParts%20)&amp;keywords=abParts", "abParts")</f>
        <v>abParts</v>
      </c>
      <c r="N155" s="0" t="s">
        <v>1075</v>
      </c>
      <c r="O155" s="0" t="s">
        <v>262</v>
      </c>
      <c r="P155" s="0" t="s">
        <v>1076</v>
      </c>
      <c r="Q155" s="0" t="n">
        <v>0.0215</v>
      </c>
      <c r="R155" s="0" t="n">
        <v>0.021</v>
      </c>
      <c r="S155" s="0" t="n">
        <v>0.0199</v>
      </c>
      <c r="T155" s="0" t="n">
        <v>-1</v>
      </c>
      <c r="U155" s="0" t="n">
        <v>0.0244</v>
      </c>
      <c r="V155" s="0" t="s">
        <v>46</v>
      </c>
      <c r="W155" s="0" t="s">
        <v>46</v>
      </c>
      <c r="X155" s="0" t="s">
        <v>46</v>
      </c>
      <c r="Y155" s="0" t="s">
        <v>46</v>
      </c>
      <c r="Z155" s="0" t="s">
        <v>46</v>
      </c>
      <c r="AA155" s="0" t="s">
        <v>46</v>
      </c>
      <c r="AB155" s="0" t="s">
        <v>46</v>
      </c>
      <c r="AC155" s="0" t="s">
        <v>50</v>
      </c>
      <c r="AD155" s="0" t="s">
        <v>51</v>
      </c>
      <c r="AE155" s="0" t="s">
        <v>46</v>
      </c>
      <c r="AF155" s="0" t="s">
        <v>46</v>
      </c>
      <c r="AG155" s="0" t="s">
        <v>46</v>
      </c>
      <c r="AH155" s="0" t="s">
        <v>46</v>
      </c>
      <c r="AI155" s="0" t="s">
        <v>46</v>
      </c>
      <c r="AJ155" s="0" t="s">
        <v>46</v>
      </c>
      <c r="AK155" s="0" t="s">
        <v>46</v>
      </c>
      <c r="AL155" s="0" t="s">
        <v>46</v>
      </c>
    </row>
    <row r="156" customFormat="false" ht="15" hidden="false" customHeight="false" outlineLevel="0" collapsed="false">
      <c r="B156" s="0" t="str">
        <f aca="false">HYPERLINK("https://genome.ucsc.edu/cgi-bin/hgTracks?db=hg19&amp;position=chr15%3A28419506%2D28419506", "chr15:28419506")</f>
        <v>chr15:28419506</v>
      </c>
      <c r="C156" s="0" t="s">
        <v>196</v>
      </c>
      <c r="D156" s="0" t="n">
        <v>28419506</v>
      </c>
      <c r="E156" s="0" t="n">
        <v>28419506</v>
      </c>
      <c r="F156" s="0" t="s">
        <v>57</v>
      </c>
      <c r="G156" s="0" t="s">
        <v>82</v>
      </c>
      <c r="H156" s="0" t="s">
        <v>1077</v>
      </c>
      <c r="I156" s="0" t="s">
        <v>997</v>
      </c>
      <c r="J156" s="0" t="s">
        <v>1078</v>
      </c>
      <c r="K156" s="0" t="s">
        <v>46</v>
      </c>
      <c r="L156" s="0" t="str">
        <f aca="false">HYPERLINK("https://www.ncbi.nlm.nih.gov/snp/rs572066378", "rs572066378")</f>
        <v>rs572066378</v>
      </c>
      <c r="M156" s="0" t="str">
        <f aca="false">HYPERLINK("https://www.genecards.org/Search/Keyword?queryString=%5Baliases%5D(%20HERC2%20)&amp;keywords=HERC2", "HERC2")</f>
        <v>HERC2</v>
      </c>
      <c r="N156" s="0" t="s">
        <v>45</v>
      </c>
      <c r="O156" s="0" t="s">
        <v>46</v>
      </c>
      <c r="P156" s="0" t="s">
        <v>46</v>
      </c>
      <c r="Q156" s="0" t="n">
        <v>0.0179</v>
      </c>
      <c r="R156" s="0" t="n">
        <v>0.0053</v>
      </c>
      <c r="S156" s="0" t="n">
        <v>0.0052</v>
      </c>
      <c r="T156" s="0" t="n">
        <v>-1</v>
      </c>
      <c r="U156" s="0" t="n">
        <v>0.0055</v>
      </c>
      <c r="V156" s="0" t="s">
        <v>46</v>
      </c>
      <c r="W156" s="0" t="s">
        <v>46</v>
      </c>
      <c r="X156" s="0" t="s">
        <v>47</v>
      </c>
      <c r="Y156" s="0" t="s">
        <v>48</v>
      </c>
      <c r="Z156" s="0" t="s">
        <v>46</v>
      </c>
      <c r="AA156" s="0" t="s">
        <v>46</v>
      </c>
      <c r="AB156" s="0" t="s">
        <v>46</v>
      </c>
      <c r="AC156" s="0" t="s">
        <v>50</v>
      </c>
      <c r="AD156" s="0" t="s">
        <v>51</v>
      </c>
      <c r="AE156" s="0" t="s">
        <v>51</v>
      </c>
      <c r="AF156" s="0" t="s">
        <v>1079</v>
      </c>
      <c r="AG156" s="0" t="s">
        <v>1080</v>
      </c>
      <c r="AH156" s="0" t="s">
        <v>1081</v>
      </c>
      <c r="AI156" s="0" t="s">
        <v>46</v>
      </c>
      <c r="AJ156" s="0" t="s">
        <v>46</v>
      </c>
      <c r="AK156" s="0" t="s">
        <v>46</v>
      </c>
      <c r="AL156" s="0" t="s">
        <v>487</v>
      </c>
    </row>
    <row r="157" customFormat="false" ht="15" hidden="false" customHeight="false" outlineLevel="0" collapsed="false">
      <c r="B157" s="0" t="str">
        <f aca="false">HYPERLINK("https://genome.ucsc.edu/cgi-bin/hgTracks?db=hg19&amp;position=chr15%3A31521507%2D31521507", "chr15:31521507")</f>
        <v>chr15:31521507</v>
      </c>
      <c r="C157" s="0" t="s">
        <v>196</v>
      </c>
      <c r="D157" s="0" t="n">
        <v>31521507</v>
      </c>
      <c r="E157" s="0" t="n">
        <v>31521507</v>
      </c>
      <c r="F157" s="0" t="s">
        <v>39</v>
      </c>
      <c r="G157" s="0" t="s">
        <v>185</v>
      </c>
      <c r="H157" s="0" t="s">
        <v>1082</v>
      </c>
      <c r="I157" s="0" t="s">
        <v>690</v>
      </c>
      <c r="J157" s="0" t="s">
        <v>1083</v>
      </c>
      <c r="K157" s="0" t="s">
        <v>46</v>
      </c>
      <c r="L157" s="0" t="s">
        <v>46</v>
      </c>
      <c r="M157" s="0" t="str">
        <f aca="false">HYPERLINK("https://www.genecards.org/Search/Keyword?queryString=%5Baliases%5D(%20LOC283710%20)&amp;keywords=LOC283710", "LOC283710")</f>
        <v>LOC283710</v>
      </c>
      <c r="N157" s="0" t="s">
        <v>1084</v>
      </c>
      <c r="O157" s="0" t="s">
        <v>262</v>
      </c>
      <c r="P157" s="0" t="s">
        <v>1085</v>
      </c>
      <c r="Q157" s="0" t="n">
        <v>-1</v>
      </c>
      <c r="R157" s="0" t="n">
        <v>-1</v>
      </c>
      <c r="S157" s="0" t="n">
        <v>-1</v>
      </c>
      <c r="T157" s="0" t="n">
        <v>-1</v>
      </c>
      <c r="U157" s="0" t="n">
        <v>-1</v>
      </c>
      <c r="V157" s="0" t="s">
        <v>46</v>
      </c>
      <c r="W157" s="0" t="s">
        <v>46</v>
      </c>
      <c r="X157" s="0" t="s">
        <v>46</v>
      </c>
      <c r="Y157" s="0" t="s">
        <v>46</v>
      </c>
      <c r="Z157" s="0" t="s">
        <v>46</v>
      </c>
      <c r="AA157" s="0" t="s">
        <v>46</v>
      </c>
      <c r="AB157" s="0" t="s">
        <v>46</v>
      </c>
      <c r="AC157" s="0" t="s">
        <v>254</v>
      </c>
      <c r="AD157" s="0" t="s">
        <v>51</v>
      </c>
      <c r="AE157" s="0" t="s">
        <v>46</v>
      </c>
      <c r="AF157" s="0" t="s">
        <v>46</v>
      </c>
      <c r="AG157" s="0" t="s">
        <v>46</v>
      </c>
      <c r="AH157" s="0" t="s">
        <v>46</v>
      </c>
      <c r="AI157" s="0" t="s">
        <v>46</v>
      </c>
      <c r="AJ157" s="0" t="s">
        <v>46</v>
      </c>
      <c r="AK157" s="0" t="s">
        <v>46</v>
      </c>
      <c r="AL157" s="0" t="s">
        <v>46</v>
      </c>
    </row>
    <row r="158" customFormat="false" ht="15" hidden="false" customHeight="false" outlineLevel="0" collapsed="false">
      <c r="B158" s="0" t="str">
        <f aca="false">HYPERLINK("https://genome.ucsc.edu/cgi-bin/hgTracks?db=hg19&amp;position=chr15%3A41279894%2D41279894", "chr15:41279894")</f>
        <v>chr15:41279894</v>
      </c>
      <c r="C158" s="0" t="s">
        <v>196</v>
      </c>
      <c r="D158" s="0" t="n">
        <v>41279894</v>
      </c>
      <c r="E158" s="0" t="n">
        <v>41279894</v>
      </c>
      <c r="F158" s="0" t="s">
        <v>82</v>
      </c>
      <c r="G158" s="0" t="s">
        <v>40</v>
      </c>
      <c r="H158" s="0" t="s">
        <v>1086</v>
      </c>
      <c r="I158" s="0" t="s">
        <v>677</v>
      </c>
      <c r="J158" s="0" t="s">
        <v>1087</v>
      </c>
      <c r="K158" s="0" t="s">
        <v>46</v>
      </c>
      <c r="L158" s="0" t="str">
        <f aca="false">HYPERLINK("https://www.ncbi.nlm.nih.gov/snp/rs147972982", "rs147972982")</f>
        <v>rs147972982</v>
      </c>
      <c r="M158" s="0" t="str">
        <f aca="false">HYPERLINK("https://www.genecards.org/Search/Keyword?queryString=%5Baliases%5D(%20INO80%20)&amp;keywords=INO80", "INO80")</f>
        <v>INO80</v>
      </c>
      <c r="N158" s="0" t="s">
        <v>45</v>
      </c>
      <c r="O158" s="0" t="s">
        <v>46</v>
      </c>
      <c r="P158" s="0" t="s">
        <v>46</v>
      </c>
      <c r="Q158" s="0" t="n">
        <v>0.0063</v>
      </c>
      <c r="R158" s="0" t="n">
        <v>0.0059</v>
      </c>
      <c r="S158" s="0" t="n">
        <v>0.0065</v>
      </c>
      <c r="T158" s="0" t="n">
        <v>-1</v>
      </c>
      <c r="U158" s="0" t="n">
        <v>0.0045</v>
      </c>
      <c r="V158" s="0" t="s">
        <v>46</v>
      </c>
      <c r="W158" s="0" t="s">
        <v>46</v>
      </c>
      <c r="X158" s="0" t="s">
        <v>354</v>
      </c>
      <c r="Y158" s="0" t="s">
        <v>48</v>
      </c>
      <c r="Z158" s="0" t="s">
        <v>46</v>
      </c>
      <c r="AA158" s="0" t="s">
        <v>46</v>
      </c>
      <c r="AB158" s="0" t="s">
        <v>46</v>
      </c>
      <c r="AC158" s="0" t="s">
        <v>50</v>
      </c>
      <c r="AD158" s="0" t="s">
        <v>51</v>
      </c>
      <c r="AE158" s="0" t="s">
        <v>1088</v>
      </c>
      <c r="AF158" s="0" t="s">
        <v>1089</v>
      </c>
      <c r="AG158" s="0" t="s">
        <v>1090</v>
      </c>
      <c r="AH158" s="0" t="s">
        <v>46</v>
      </c>
      <c r="AI158" s="0" t="s">
        <v>46</v>
      </c>
      <c r="AJ158" s="0" t="s">
        <v>46</v>
      </c>
      <c r="AK158" s="0" t="s">
        <v>46</v>
      </c>
      <c r="AL158" s="0" t="s">
        <v>46</v>
      </c>
    </row>
    <row r="159" customFormat="false" ht="15" hidden="false" customHeight="false" outlineLevel="0" collapsed="false">
      <c r="B159" s="0" t="str">
        <f aca="false">HYPERLINK("https://genome.ucsc.edu/cgi-bin/hgTracks?db=hg19&amp;position=chr15%3A42028924%2D42028924", "chr15:42028924")</f>
        <v>chr15:42028924</v>
      </c>
      <c r="C159" s="0" t="s">
        <v>196</v>
      </c>
      <c r="D159" s="0" t="n">
        <v>42028924</v>
      </c>
      <c r="E159" s="0" t="n">
        <v>42028924</v>
      </c>
      <c r="F159" s="0" t="s">
        <v>39</v>
      </c>
      <c r="G159" s="0" t="s">
        <v>57</v>
      </c>
      <c r="H159" s="0" t="s">
        <v>1091</v>
      </c>
      <c r="I159" s="0" t="s">
        <v>589</v>
      </c>
      <c r="J159" s="0" t="s">
        <v>1092</v>
      </c>
      <c r="K159" s="0" t="s">
        <v>46</v>
      </c>
      <c r="L159" s="0" t="str">
        <f aca="false">HYPERLINK("https://www.ncbi.nlm.nih.gov/snp/rs192087315", "rs192087315")</f>
        <v>rs192087315</v>
      </c>
      <c r="M159" s="0" t="str">
        <f aca="false">HYPERLINK("https://www.genecards.org/Search/Keyword?queryString=%5Baliases%5D(%20MGA%20)&amp;keywords=MGA", "MGA")</f>
        <v>MGA</v>
      </c>
      <c r="N159" s="0" t="s">
        <v>45</v>
      </c>
      <c r="O159" s="0" t="s">
        <v>46</v>
      </c>
      <c r="P159" s="0" t="s">
        <v>46</v>
      </c>
      <c r="Q159" s="0" t="n">
        <v>0.0008</v>
      </c>
      <c r="R159" s="0" t="n">
        <v>-1</v>
      </c>
      <c r="S159" s="0" t="n">
        <v>7.343E-005</v>
      </c>
      <c r="T159" s="0" t="n">
        <v>-1</v>
      </c>
      <c r="U159" s="0" t="n">
        <v>-1</v>
      </c>
      <c r="V159" s="0" t="s">
        <v>46</v>
      </c>
      <c r="W159" s="0" t="s">
        <v>46</v>
      </c>
      <c r="X159" s="0" t="s">
        <v>47</v>
      </c>
      <c r="Y159" s="0" t="s">
        <v>48</v>
      </c>
      <c r="Z159" s="0" t="s">
        <v>46</v>
      </c>
      <c r="AA159" s="0" t="s">
        <v>46</v>
      </c>
      <c r="AB159" s="0" t="s">
        <v>46</v>
      </c>
      <c r="AC159" s="0" t="s">
        <v>50</v>
      </c>
      <c r="AD159" s="0" t="s">
        <v>51</v>
      </c>
      <c r="AE159" s="0" t="s">
        <v>1093</v>
      </c>
      <c r="AF159" s="0" t="s">
        <v>1094</v>
      </c>
      <c r="AG159" s="0" t="s">
        <v>1095</v>
      </c>
      <c r="AH159" s="0" t="s">
        <v>46</v>
      </c>
      <c r="AI159" s="0" t="s">
        <v>46</v>
      </c>
      <c r="AJ159" s="0" t="s">
        <v>46</v>
      </c>
      <c r="AK159" s="0" t="s">
        <v>46</v>
      </c>
      <c r="AL159" s="0" t="s">
        <v>46</v>
      </c>
    </row>
    <row r="160" customFormat="false" ht="15" hidden="false" customHeight="false" outlineLevel="0" collapsed="false">
      <c r="B160" s="0" t="str">
        <f aca="false">HYPERLINK("https://genome.ucsc.edu/cgi-bin/hgTracks?db=hg19&amp;position=chr15%3A43621160%2D43621178", "chr15:43621160")</f>
        <v>chr15:43621160</v>
      </c>
      <c r="C160" s="0" t="s">
        <v>196</v>
      </c>
      <c r="D160" s="0" t="n">
        <v>43621160</v>
      </c>
      <c r="E160" s="0" t="n">
        <v>43621178</v>
      </c>
      <c r="F160" s="0" t="s">
        <v>1096</v>
      </c>
      <c r="G160" s="0" t="s">
        <v>185</v>
      </c>
      <c r="H160" s="0" t="s">
        <v>1097</v>
      </c>
      <c r="I160" s="0" t="s">
        <v>1098</v>
      </c>
      <c r="J160" s="0" t="s">
        <v>1099</v>
      </c>
      <c r="K160" s="0" t="s">
        <v>46</v>
      </c>
      <c r="L160" s="0" t="str">
        <f aca="false">HYPERLINK("https://www.ncbi.nlm.nih.gov/snp/rs539274680", "rs539274680")</f>
        <v>rs539274680</v>
      </c>
      <c r="M160" s="0" t="str">
        <f aca="false">HYPERLINK("https://www.genecards.org/Search/Keyword?queryString=%5Baliases%5D(%20LCMT2%20)&amp;keywords=LCMT2", "LCMT2")</f>
        <v>LCMT2</v>
      </c>
      <c r="N160" s="0" t="s">
        <v>62</v>
      </c>
      <c r="O160" s="0" t="s">
        <v>262</v>
      </c>
      <c r="P160" s="0" t="s">
        <v>1100</v>
      </c>
      <c r="Q160" s="0" t="n">
        <v>0.0003</v>
      </c>
      <c r="R160" s="0" t="n">
        <v>0.0003</v>
      </c>
      <c r="S160" s="0" t="n">
        <v>0.0003</v>
      </c>
      <c r="T160" s="0" t="n">
        <v>-1</v>
      </c>
      <c r="U160" s="0" t="n">
        <v>0.0005</v>
      </c>
      <c r="V160" s="0" t="s">
        <v>46</v>
      </c>
      <c r="W160" s="0" t="s">
        <v>46</v>
      </c>
      <c r="X160" s="0" t="s">
        <v>46</v>
      </c>
      <c r="Y160" s="0" t="s">
        <v>46</v>
      </c>
      <c r="Z160" s="0" t="s">
        <v>46</v>
      </c>
      <c r="AA160" s="0" t="s">
        <v>46</v>
      </c>
      <c r="AB160" s="0" t="s">
        <v>46</v>
      </c>
      <c r="AC160" s="0" t="s">
        <v>50</v>
      </c>
      <c r="AD160" s="0" t="s">
        <v>51</v>
      </c>
      <c r="AE160" s="0" t="s">
        <v>1101</v>
      </c>
      <c r="AF160" s="0" t="s">
        <v>1102</v>
      </c>
      <c r="AG160" s="0" t="s">
        <v>1103</v>
      </c>
      <c r="AH160" s="0" t="s">
        <v>46</v>
      </c>
      <c r="AI160" s="0" t="s">
        <v>46</v>
      </c>
      <c r="AJ160" s="0" t="s">
        <v>46</v>
      </c>
      <c r="AK160" s="0" t="s">
        <v>46</v>
      </c>
      <c r="AL160" s="0" t="s">
        <v>46</v>
      </c>
    </row>
    <row r="161" customFormat="false" ht="15" hidden="false" customHeight="false" outlineLevel="0" collapsed="false">
      <c r="B161" s="0" t="str">
        <f aca="false">HYPERLINK("https://genome.ucsc.edu/cgi-bin/hgTracks?db=hg19&amp;position=chr15%3A48444430%2D48444430", "chr15:48444430")</f>
        <v>chr15:48444430</v>
      </c>
      <c r="C161" s="0" t="s">
        <v>196</v>
      </c>
      <c r="D161" s="0" t="n">
        <v>48444430</v>
      </c>
      <c r="E161" s="0" t="n">
        <v>48444430</v>
      </c>
      <c r="F161" s="0" t="s">
        <v>40</v>
      </c>
      <c r="G161" s="0" t="s">
        <v>57</v>
      </c>
      <c r="H161" s="0" t="s">
        <v>1104</v>
      </c>
      <c r="I161" s="0" t="s">
        <v>1105</v>
      </c>
      <c r="J161" s="0" t="s">
        <v>1106</v>
      </c>
      <c r="K161" s="0" t="s">
        <v>46</v>
      </c>
      <c r="L161" s="0" t="str">
        <f aca="false">HYPERLINK("https://www.ncbi.nlm.nih.gov/snp/rs117103804", "rs117103804")</f>
        <v>rs117103804</v>
      </c>
      <c r="M161" s="0" t="str">
        <f aca="false">HYPERLINK("https://www.genecards.org/Search/Keyword?queryString=%5Baliases%5D(%20MYEF2%20)&amp;keywords=MYEF2", "MYEF2")</f>
        <v>MYEF2</v>
      </c>
      <c r="N161" s="0" t="s">
        <v>602</v>
      </c>
      <c r="O161" s="0" t="s">
        <v>46</v>
      </c>
      <c r="P161" s="0" t="s">
        <v>1107</v>
      </c>
      <c r="Q161" s="0" t="n">
        <v>0.0064</v>
      </c>
      <c r="R161" s="0" t="n">
        <v>0.004</v>
      </c>
      <c r="S161" s="0" t="n">
        <v>0.0044</v>
      </c>
      <c r="T161" s="0" t="n">
        <v>-1</v>
      </c>
      <c r="U161" s="0" t="n">
        <v>0.0031</v>
      </c>
      <c r="V161" s="0" t="s">
        <v>384</v>
      </c>
      <c r="W161" s="0" t="s">
        <v>47</v>
      </c>
      <c r="X161" s="0" t="s">
        <v>47</v>
      </c>
      <c r="Y161" s="0" t="s">
        <v>200</v>
      </c>
      <c r="Z161" s="0" t="s">
        <v>114</v>
      </c>
      <c r="AA161" s="0" t="s">
        <v>46</v>
      </c>
      <c r="AB161" s="0" t="s">
        <v>46</v>
      </c>
      <c r="AC161" s="0" t="s">
        <v>50</v>
      </c>
      <c r="AD161" s="0" t="s">
        <v>51</v>
      </c>
      <c r="AE161" s="0" t="s">
        <v>1108</v>
      </c>
      <c r="AF161" s="0" t="s">
        <v>1109</v>
      </c>
      <c r="AG161" s="0" t="s">
        <v>1110</v>
      </c>
      <c r="AH161" s="0" t="s">
        <v>46</v>
      </c>
      <c r="AI161" s="0" t="s">
        <v>46</v>
      </c>
      <c r="AJ161" s="0" t="s">
        <v>46</v>
      </c>
      <c r="AK161" s="0" t="s">
        <v>46</v>
      </c>
      <c r="AL161" s="0" t="s">
        <v>46</v>
      </c>
    </row>
    <row r="162" customFormat="false" ht="15" hidden="false" customHeight="false" outlineLevel="0" collapsed="false">
      <c r="B162" s="0" t="str">
        <f aca="false">HYPERLINK("https://genome.ucsc.edu/cgi-bin/hgTracks?db=hg19&amp;position=chr15%3A55742590%2D55742590", "chr15:55742590")</f>
        <v>chr15:55742590</v>
      </c>
      <c r="C162" s="0" t="s">
        <v>196</v>
      </c>
      <c r="D162" s="0" t="n">
        <v>55742590</v>
      </c>
      <c r="E162" s="0" t="n">
        <v>55742590</v>
      </c>
      <c r="F162" s="0" t="s">
        <v>57</v>
      </c>
      <c r="G162" s="0" t="s">
        <v>82</v>
      </c>
      <c r="H162" s="0" t="s">
        <v>1111</v>
      </c>
      <c r="I162" s="0" t="s">
        <v>1009</v>
      </c>
      <c r="J162" s="0" t="s">
        <v>1112</v>
      </c>
      <c r="K162" s="0" t="s">
        <v>46</v>
      </c>
      <c r="L162" s="0" t="str">
        <f aca="false">HYPERLINK("https://www.ncbi.nlm.nih.gov/snp/rs199966941", "rs199966941")</f>
        <v>rs199966941</v>
      </c>
      <c r="M162" s="0" t="str">
        <f aca="false">HYPERLINK("https://www.genecards.org/Search/Keyword?queryString=%5Baliases%5D(%20DNAAF4-CCPG1%20)%20OR%20%5Baliases%5D(%20DYX1C1%20)%20OR%20%5Baliases%5D(%20DYX1C1-CCPG1%20)&amp;keywords=DNAAF4-CCPG1,DYX1C1,DYX1C1-CCPG1", "DNAAF4-CCPG1;DYX1C1;DYX1C1-CCPG1")</f>
        <v>DNAAF4-CCPG1;DYX1C1;DYX1C1-CCPG1</v>
      </c>
      <c r="N162" s="0" t="s">
        <v>306</v>
      </c>
      <c r="O162" s="0" t="s">
        <v>46</v>
      </c>
      <c r="P162" s="0" t="s">
        <v>46</v>
      </c>
      <c r="Q162" s="0" t="n">
        <v>0.0014295</v>
      </c>
      <c r="R162" s="0" t="n">
        <v>0.0012</v>
      </c>
      <c r="S162" s="0" t="n">
        <v>0.0012</v>
      </c>
      <c r="T162" s="0" t="n">
        <v>-1</v>
      </c>
      <c r="U162" s="0" t="n">
        <v>0.0007</v>
      </c>
      <c r="V162" s="0" t="s">
        <v>46</v>
      </c>
      <c r="W162" s="0" t="s">
        <v>46</v>
      </c>
      <c r="X162" s="0" t="s">
        <v>307</v>
      </c>
      <c r="Y162" s="0" t="s">
        <v>48</v>
      </c>
      <c r="Z162" s="0" t="s">
        <v>46</v>
      </c>
      <c r="AA162" s="0" t="s">
        <v>46</v>
      </c>
      <c r="AB162" s="0" t="s">
        <v>46</v>
      </c>
      <c r="AC162" s="0" t="s">
        <v>50</v>
      </c>
      <c r="AD162" s="0" t="s">
        <v>548</v>
      </c>
      <c r="AE162" s="0" t="s">
        <v>1113</v>
      </c>
      <c r="AF162" s="0" t="s">
        <v>1114</v>
      </c>
      <c r="AG162" s="0" t="s">
        <v>1115</v>
      </c>
      <c r="AH162" s="0" t="s">
        <v>1116</v>
      </c>
      <c r="AI162" s="0" t="s">
        <v>46</v>
      </c>
      <c r="AJ162" s="0" t="s">
        <v>46</v>
      </c>
      <c r="AK162" s="0" t="s">
        <v>46</v>
      </c>
      <c r="AL162" s="0" t="s">
        <v>46</v>
      </c>
    </row>
    <row r="163" customFormat="false" ht="15" hidden="false" customHeight="false" outlineLevel="0" collapsed="false">
      <c r="B163" s="0" t="str">
        <f aca="false">HYPERLINK("https://genome.ucsc.edu/cgi-bin/hgTracks?db=hg19&amp;position=chr15%3A55841195%2D55841195", "chr15:55841195")</f>
        <v>chr15:55841195</v>
      </c>
      <c r="C163" s="0" t="s">
        <v>196</v>
      </c>
      <c r="D163" s="0" t="n">
        <v>55841195</v>
      </c>
      <c r="E163" s="0" t="n">
        <v>55841195</v>
      </c>
      <c r="F163" s="0" t="s">
        <v>185</v>
      </c>
      <c r="G163" s="0" t="s">
        <v>57</v>
      </c>
      <c r="H163" s="0" t="s">
        <v>1117</v>
      </c>
      <c r="I163" s="0" t="s">
        <v>1118</v>
      </c>
      <c r="J163" s="0" t="s">
        <v>1119</v>
      </c>
      <c r="K163" s="0" t="s">
        <v>46</v>
      </c>
      <c r="L163" s="0" t="s">
        <v>46</v>
      </c>
      <c r="M163" s="0" t="str">
        <f aca="false">HYPERLINK("https://www.genecards.org/Search/Keyword?queryString=%5Baliases%5D(%20PYGO1%20)&amp;keywords=PYGO1", "PYGO1")</f>
        <v>PYGO1</v>
      </c>
      <c r="N163" s="0" t="s">
        <v>602</v>
      </c>
      <c r="O163" s="0" t="s">
        <v>46</v>
      </c>
      <c r="P163" s="0" t="s">
        <v>1120</v>
      </c>
      <c r="Q163" s="0" t="n">
        <v>0.0204</v>
      </c>
      <c r="R163" s="0" t="n">
        <v>0.0107</v>
      </c>
      <c r="S163" s="0" t="n">
        <v>0.0077</v>
      </c>
      <c r="T163" s="0" t="n">
        <v>-1</v>
      </c>
      <c r="U163" s="0" t="n">
        <v>0.0288</v>
      </c>
      <c r="V163" s="0" t="s">
        <v>46</v>
      </c>
      <c r="W163" s="0" t="s">
        <v>46</v>
      </c>
      <c r="X163" s="0" t="s">
        <v>46</v>
      </c>
      <c r="Y163" s="0" t="s">
        <v>46</v>
      </c>
      <c r="Z163" s="0" t="s">
        <v>46</v>
      </c>
      <c r="AA163" s="0" t="s">
        <v>46</v>
      </c>
      <c r="AB163" s="0" t="s">
        <v>46</v>
      </c>
      <c r="AC163" s="0" t="s">
        <v>50</v>
      </c>
      <c r="AD163" s="0" t="s">
        <v>51</v>
      </c>
      <c r="AE163" s="0" t="s">
        <v>1121</v>
      </c>
      <c r="AF163" s="0" t="s">
        <v>1122</v>
      </c>
      <c r="AG163" s="0" t="s">
        <v>1123</v>
      </c>
      <c r="AH163" s="0" t="s">
        <v>46</v>
      </c>
      <c r="AI163" s="0" t="s">
        <v>46</v>
      </c>
      <c r="AJ163" s="0" t="s">
        <v>46</v>
      </c>
      <c r="AK163" s="0" t="s">
        <v>46</v>
      </c>
      <c r="AL163" s="0" t="s">
        <v>46</v>
      </c>
    </row>
    <row r="164" customFormat="false" ht="15" hidden="false" customHeight="false" outlineLevel="0" collapsed="false">
      <c r="B164" s="0" t="str">
        <f aca="false">HYPERLINK("https://genome.ucsc.edu/cgi-bin/hgTracks?db=hg19&amp;position=chr15%3A58253310%2D58253310", "chr15:58253310")</f>
        <v>chr15:58253310</v>
      </c>
      <c r="C164" s="0" t="s">
        <v>196</v>
      </c>
      <c r="D164" s="0" t="n">
        <v>58253310</v>
      </c>
      <c r="E164" s="0" t="n">
        <v>58253310</v>
      </c>
      <c r="F164" s="0" t="s">
        <v>39</v>
      </c>
      <c r="G164" s="0" t="s">
        <v>40</v>
      </c>
      <c r="H164" s="0" t="s">
        <v>1124</v>
      </c>
      <c r="I164" s="0" t="s">
        <v>154</v>
      </c>
      <c r="J164" s="0" t="s">
        <v>1125</v>
      </c>
      <c r="K164" s="0" t="s">
        <v>46</v>
      </c>
      <c r="L164" s="0" t="str">
        <f aca="false">HYPERLINK("https://www.ncbi.nlm.nih.gov/snp/rs117694762", "rs117694762")</f>
        <v>rs117694762</v>
      </c>
      <c r="M164" s="0" t="str">
        <f aca="false">HYPERLINK("https://www.genecards.org/Search/Keyword?queryString=%5Baliases%5D(%20ALDH1A2%20)&amp;keywords=ALDH1A2", "ALDH1A2")</f>
        <v>ALDH1A2</v>
      </c>
      <c r="N164" s="0" t="s">
        <v>45</v>
      </c>
      <c r="O164" s="0" t="s">
        <v>46</v>
      </c>
      <c r="P164" s="0" t="s">
        <v>46</v>
      </c>
      <c r="Q164" s="0" t="n">
        <v>0.0198</v>
      </c>
      <c r="R164" s="0" t="n">
        <v>0.0192</v>
      </c>
      <c r="S164" s="0" t="n">
        <v>0.0199</v>
      </c>
      <c r="T164" s="0" t="n">
        <v>-1</v>
      </c>
      <c r="U164" s="0" t="n">
        <v>0.0156</v>
      </c>
      <c r="V164" s="0" t="s">
        <v>46</v>
      </c>
      <c r="W164" s="0" t="s">
        <v>46</v>
      </c>
      <c r="X164" s="0" t="s">
        <v>47</v>
      </c>
      <c r="Y164" s="0" t="s">
        <v>48</v>
      </c>
      <c r="Z164" s="0" t="s">
        <v>46</v>
      </c>
      <c r="AA164" s="0" t="s">
        <v>46</v>
      </c>
      <c r="AB164" s="0" t="s">
        <v>46</v>
      </c>
      <c r="AC164" s="0" t="s">
        <v>50</v>
      </c>
      <c r="AD164" s="0" t="s">
        <v>51</v>
      </c>
      <c r="AE164" s="0" t="s">
        <v>1126</v>
      </c>
      <c r="AF164" s="0" t="s">
        <v>1127</v>
      </c>
      <c r="AG164" s="0" t="s">
        <v>1128</v>
      </c>
      <c r="AH164" s="0" t="s">
        <v>46</v>
      </c>
      <c r="AI164" s="0" t="s">
        <v>46</v>
      </c>
      <c r="AJ164" s="0" t="s">
        <v>46</v>
      </c>
      <c r="AK164" s="0" t="s">
        <v>46</v>
      </c>
      <c r="AL164" s="0" t="s">
        <v>46</v>
      </c>
    </row>
    <row r="165" customFormat="false" ht="15" hidden="false" customHeight="false" outlineLevel="0" collapsed="false">
      <c r="B165" s="0" t="str">
        <f aca="false">HYPERLINK("https://genome.ucsc.edu/cgi-bin/hgTracks?db=hg19&amp;position=chr15%3A64458281%2D64458281", "chr15:64458281")</f>
        <v>chr15:64458281</v>
      </c>
      <c r="C165" s="0" t="s">
        <v>196</v>
      </c>
      <c r="D165" s="0" t="n">
        <v>64458281</v>
      </c>
      <c r="E165" s="0" t="n">
        <v>64458281</v>
      </c>
      <c r="F165" s="0" t="s">
        <v>185</v>
      </c>
      <c r="G165" s="0" t="s">
        <v>57</v>
      </c>
      <c r="H165" s="0" t="s">
        <v>1129</v>
      </c>
      <c r="I165" s="0" t="s">
        <v>121</v>
      </c>
      <c r="J165" s="0" t="s">
        <v>1130</v>
      </c>
      <c r="K165" s="0" t="s">
        <v>46</v>
      </c>
      <c r="L165" s="0" t="str">
        <f aca="false">HYPERLINK("https://www.ncbi.nlm.nih.gov/snp/rs764974184", "rs764974184")</f>
        <v>rs764974184</v>
      </c>
      <c r="M165" s="0" t="str">
        <f aca="false">HYPERLINK("https://www.genecards.org/Search/Keyword?queryString=%5Baliases%5D(%20CSNK1G1%20)&amp;keywords=CSNK1G1", "CSNK1G1")</f>
        <v>CSNK1G1</v>
      </c>
      <c r="N165" s="0" t="s">
        <v>602</v>
      </c>
      <c r="O165" s="0" t="s">
        <v>46</v>
      </c>
      <c r="P165" s="0" t="s">
        <v>1131</v>
      </c>
      <c r="Q165" s="0" t="n">
        <v>0.0109</v>
      </c>
      <c r="R165" s="0" t="n">
        <v>0.0061</v>
      </c>
      <c r="S165" s="0" t="n">
        <v>0.0023</v>
      </c>
      <c r="T165" s="0" t="n">
        <v>-1</v>
      </c>
      <c r="U165" s="0" t="n">
        <v>0.0032</v>
      </c>
      <c r="V165" s="0" t="s">
        <v>46</v>
      </c>
      <c r="W165" s="0" t="s">
        <v>46</v>
      </c>
      <c r="X165" s="0" t="s">
        <v>46</v>
      </c>
      <c r="Y165" s="0" t="s">
        <v>46</v>
      </c>
      <c r="Z165" s="0" t="s">
        <v>46</v>
      </c>
      <c r="AA165" s="0" t="s">
        <v>46</v>
      </c>
      <c r="AB165" s="0" t="s">
        <v>46</v>
      </c>
      <c r="AC165" s="0" t="s">
        <v>50</v>
      </c>
      <c r="AD165" s="0" t="s">
        <v>51</v>
      </c>
      <c r="AE165" s="0" t="s">
        <v>1132</v>
      </c>
      <c r="AF165" s="0" t="s">
        <v>1133</v>
      </c>
      <c r="AG165" s="0" t="s">
        <v>1134</v>
      </c>
      <c r="AH165" s="0" t="s">
        <v>46</v>
      </c>
      <c r="AI165" s="0" t="s">
        <v>46</v>
      </c>
      <c r="AJ165" s="0" t="s">
        <v>46</v>
      </c>
      <c r="AK165" s="0" t="s">
        <v>46</v>
      </c>
      <c r="AL165" s="0" t="s">
        <v>46</v>
      </c>
    </row>
    <row r="166" customFormat="false" ht="15" hidden="false" customHeight="false" outlineLevel="0" collapsed="false">
      <c r="B166" s="0" t="str">
        <f aca="false">HYPERLINK("https://genome.ucsc.edu/cgi-bin/hgTracks?db=hg19&amp;position=chr15%3A65455011%2D65455011", "chr15:65455011")</f>
        <v>chr15:65455011</v>
      </c>
      <c r="C166" s="0" t="s">
        <v>196</v>
      </c>
      <c r="D166" s="0" t="n">
        <v>65455011</v>
      </c>
      <c r="E166" s="0" t="n">
        <v>65455011</v>
      </c>
      <c r="F166" s="0" t="s">
        <v>57</v>
      </c>
      <c r="G166" s="0" t="s">
        <v>40</v>
      </c>
      <c r="H166" s="0" t="s">
        <v>1135</v>
      </c>
      <c r="I166" s="0" t="s">
        <v>1136</v>
      </c>
      <c r="J166" s="0" t="s">
        <v>1137</v>
      </c>
      <c r="K166" s="0" t="s">
        <v>46</v>
      </c>
      <c r="L166" s="0" t="s">
        <v>46</v>
      </c>
      <c r="M166" s="0" t="str">
        <f aca="false">HYPERLINK("https://www.genecards.org/Search/Keyword?queryString=%5Baliases%5D(%20CLPX%20)&amp;keywords=CLPX", "CLPX")</f>
        <v>CLPX</v>
      </c>
      <c r="N166" s="0" t="s">
        <v>45</v>
      </c>
      <c r="O166" s="0" t="s">
        <v>46</v>
      </c>
      <c r="P166" s="0" t="s">
        <v>46</v>
      </c>
      <c r="Q166" s="0" t="n">
        <v>-1</v>
      </c>
      <c r="R166" s="0" t="n">
        <v>-1</v>
      </c>
      <c r="S166" s="0" t="n">
        <v>-1</v>
      </c>
      <c r="T166" s="0" t="n">
        <v>-1</v>
      </c>
      <c r="U166" s="0" t="n">
        <v>-1</v>
      </c>
      <c r="V166" s="0" t="s">
        <v>46</v>
      </c>
      <c r="W166" s="0" t="s">
        <v>46</v>
      </c>
      <c r="X166" s="0" t="s">
        <v>47</v>
      </c>
      <c r="Y166" s="0" t="s">
        <v>48</v>
      </c>
      <c r="Z166" s="0" t="s">
        <v>46</v>
      </c>
      <c r="AA166" s="0" t="s">
        <v>46</v>
      </c>
      <c r="AB166" s="0" t="s">
        <v>46</v>
      </c>
      <c r="AC166" s="0" t="s">
        <v>50</v>
      </c>
      <c r="AD166" s="0" t="s">
        <v>51</v>
      </c>
      <c r="AE166" s="0" t="s">
        <v>1138</v>
      </c>
      <c r="AF166" s="0" t="s">
        <v>1139</v>
      </c>
      <c r="AG166" s="0" t="s">
        <v>1140</v>
      </c>
      <c r="AH166" s="0" t="s">
        <v>46</v>
      </c>
      <c r="AI166" s="0" t="s">
        <v>46</v>
      </c>
      <c r="AJ166" s="0" t="s">
        <v>46</v>
      </c>
      <c r="AK166" s="0" t="s">
        <v>46</v>
      </c>
      <c r="AL166" s="0" t="s">
        <v>46</v>
      </c>
    </row>
    <row r="167" customFormat="false" ht="15" hidden="false" customHeight="false" outlineLevel="0" collapsed="false">
      <c r="B167" s="0" t="str">
        <f aca="false">HYPERLINK("https://genome.ucsc.edu/cgi-bin/hgTracks?db=hg19&amp;position=chr15%3A75641315%2D75641315", "chr15:75641315")</f>
        <v>chr15:75641315</v>
      </c>
      <c r="C167" s="0" t="s">
        <v>196</v>
      </c>
      <c r="D167" s="0" t="n">
        <v>75641315</v>
      </c>
      <c r="E167" s="0" t="n">
        <v>75641315</v>
      </c>
      <c r="F167" s="0" t="s">
        <v>185</v>
      </c>
      <c r="G167" s="0" t="s">
        <v>1141</v>
      </c>
      <c r="H167" s="0" t="s">
        <v>1142</v>
      </c>
      <c r="I167" s="0" t="s">
        <v>1143</v>
      </c>
      <c r="J167" s="0" t="s">
        <v>1144</v>
      </c>
      <c r="K167" s="0" t="s">
        <v>46</v>
      </c>
      <c r="L167" s="0" t="str">
        <f aca="false">HYPERLINK("https://www.ncbi.nlm.nih.gov/snp/rs528340029", "rs528340029")</f>
        <v>rs528340029</v>
      </c>
      <c r="M167" s="0" t="str">
        <f aca="false">HYPERLINK("https://www.genecards.org/Search/Keyword?queryString=%5Baliases%5D(%20NEIL1%20)&amp;keywords=NEIL1", "NEIL1")</f>
        <v>NEIL1</v>
      </c>
      <c r="N167" s="0" t="s">
        <v>62</v>
      </c>
      <c r="O167" s="0" t="s">
        <v>273</v>
      </c>
      <c r="P167" s="0" t="s">
        <v>1145</v>
      </c>
      <c r="Q167" s="0" t="n">
        <v>0.003284</v>
      </c>
      <c r="R167" s="0" t="n">
        <v>0.0013</v>
      </c>
      <c r="S167" s="0" t="n">
        <v>0.0017</v>
      </c>
      <c r="T167" s="0" t="n">
        <v>-1</v>
      </c>
      <c r="U167" s="0" t="n">
        <v>0.0008</v>
      </c>
      <c r="V167" s="0" t="s">
        <v>46</v>
      </c>
      <c r="W167" s="0" t="s">
        <v>46</v>
      </c>
      <c r="X167" s="0" t="s">
        <v>46</v>
      </c>
      <c r="Y167" s="0" t="s">
        <v>46</v>
      </c>
      <c r="Z167" s="0" t="s">
        <v>46</v>
      </c>
      <c r="AA167" s="0" t="s">
        <v>46</v>
      </c>
      <c r="AB167" s="0" t="s">
        <v>46</v>
      </c>
      <c r="AC167" s="0" t="s">
        <v>50</v>
      </c>
      <c r="AD167" s="0" t="s">
        <v>51</v>
      </c>
      <c r="AE167" s="0" t="s">
        <v>1146</v>
      </c>
      <c r="AF167" s="0" t="s">
        <v>1147</v>
      </c>
      <c r="AG167" s="0" t="s">
        <v>1148</v>
      </c>
      <c r="AH167" s="0" t="s">
        <v>46</v>
      </c>
      <c r="AI167" s="0" t="s">
        <v>46</v>
      </c>
      <c r="AJ167" s="0" t="s">
        <v>46</v>
      </c>
      <c r="AK167" s="0" t="s">
        <v>46</v>
      </c>
      <c r="AL167" s="0" t="s">
        <v>46</v>
      </c>
    </row>
    <row r="168" customFormat="false" ht="15" hidden="false" customHeight="false" outlineLevel="0" collapsed="false">
      <c r="B168" s="0" t="str">
        <f aca="false">HYPERLINK("https://genome.ucsc.edu/cgi-bin/hgTracks?db=hg19&amp;position=chr15%3A76998459%2D76998459", "chr15:76998459")</f>
        <v>chr15:76998459</v>
      </c>
      <c r="C168" s="0" t="s">
        <v>196</v>
      </c>
      <c r="D168" s="0" t="n">
        <v>76998459</v>
      </c>
      <c r="E168" s="0" t="n">
        <v>76998459</v>
      </c>
      <c r="F168" s="0" t="s">
        <v>39</v>
      </c>
      <c r="G168" s="0" t="s">
        <v>57</v>
      </c>
      <c r="H168" s="0" t="s">
        <v>1104</v>
      </c>
      <c r="I168" s="0" t="s">
        <v>1055</v>
      </c>
      <c r="J168" s="0" t="s">
        <v>1149</v>
      </c>
      <c r="K168" s="0" t="s">
        <v>46</v>
      </c>
      <c r="L168" s="0" t="str">
        <f aca="false">HYPERLINK("https://www.ncbi.nlm.nih.gov/snp/rs531789063", "rs531789063")</f>
        <v>rs531789063</v>
      </c>
      <c r="M168" s="0" t="str">
        <f aca="false">HYPERLINK("https://www.genecards.org/Search/Keyword?queryString=%5Baliases%5D(%20SCAPER%20)&amp;keywords=SCAPER", "SCAPER")</f>
        <v>SCAPER</v>
      </c>
      <c r="N168" s="0" t="s">
        <v>45</v>
      </c>
      <c r="O168" s="0" t="s">
        <v>46</v>
      </c>
      <c r="P168" s="0" t="s">
        <v>46</v>
      </c>
      <c r="Q168" s="0" t="n">
        <v>0.0014</v>
      </c>
      <c r="R168" s="0" t="n">
        <v>9.024E-005</v>
      </c>
      <c r="S168" s="0" t="n">
        <v>0.0004</v>
      </c>
      <c r="T168" s="0" t="n">
        <v>-1</v>
      </c>
      <c r="U168" s="0" t="n">
        <v>0.0002</v>
      </c>
      <c r="V168" s="0" t="s">
        <v>46</v>
      </c>
      <c r="W168" s="0" t="s">
        <v>46</v>
      </c>
      <c r="X168" s="0" t="s">
        <v>47</v>
      </c>
      <c r="Y168" s="0" t="s">
        <v>48</v>
      </c>
      <c r="Z168" s="0" t="s">
        <v>46</v>
      </c>
      <c r="AA168" s="0" t="s">
        <v>46</v>
      </c>
      <c r="AB168" s="0" t="s">
        <v>46</v>
      </c>
      <c r="AC168" s="0" t="s">
        <v>50</v>
      </c>
      <c r="AD168" s="0" t="s">
        <v>51</v>
      </c>
      <c r="AE168" s="0" t="s">
        <v>1150</v>
      </c>
      <c r="AF168" s="0" t="s">
        <v>1151</v>
      </c>
      <c r="AG168" s="0" t="s">
        <v>1152</v>
      </c>
      <c r="AH168" s="0" t="s">
        <v>46</v>
      </c>
      <c r="AI168" s="0" t="s">
        <v>46</v>
      </c>
      <c r="AJ168" s="0" t="s">
        <v>46</v>
      </c>
      <c r="AK168" s="0" t="s">
        <v>46</v>
      </c>
      <c r="AL168" s="0" t="s">
        <v>46</v>
      </c>
    </row>
    <row r="169" customFormat="false" ht="15" hidden="false" customHeight="false" outlineLevel="0" collapsed="false">
      <c r="B169" s="0" t="str">
        <f aca="false">HYPERLINK("https://genome.ucsc.edu/cgi-bin/hgTracks?db=hg19&amp;position=chr15%3A91447355%2D91447355", "chr15:91447355")</f>
        <v>chr15:91447355</v>
      </c>
      <c r="C169" s="0" t="s">
        <v>196</v>
      </c>
      <c r="D169" s="0" t="n">
        <v>91447355</v>
      </c>
      <c r="E169" s="0" t="n">
        <v>91447355</v>
      </c>
      <c r="F169" s="0" t="s">
        <v>82</v>
      </c>
      <c r="G169" s="0" t="s">
        <v>185</v>
      </c>
      <c r="H169" s="0" t="s">
        <v>1153</v>
      </c>
      <c r="I169" s="0" t="s">
        <v>614</v>
      </c>
      <c r="J169" s="0" t="s">
        <v>1154</v>
      </c>
      <c r="K169" s="0" t="s">
        <v>46</v>
      </c>
      <c r="L169" s="0" t="str">
        <f aca="false">HYPERLINK("https://www.ncbi.nlm.nih.gov/snp/rs533147132", "rs533147132")</f>
        <v>rs533147132</v>
      </c>
      <c r="M169" s="0" t="str">
        <f aca="false">HYPERLINK("https://www.genecards.org/Search/Keyword?queryString=%5Baliases%5D(%20MAN2A2%20)&amp;keywords=MAN2A2", "MAN2A2")</f>
        <v>MAN2A2</v>
      </c>
      <c r="N169" s="0" t="s">
        <v>280</v>
      </c>
      <c r="O169" s="0" t="s">
        <v>262</v>
      </c>
      <c r="P169" s="0" t="s">
        <v>1155</v>
      </c>
      <c r="Q169" s="0" t="n">
        <v>0.0069</v>
      </c>
      <c r="R169" s="0" t="n">
        <v>0.0058</v>
      </c>
      <c r="S169" s="0" t="n">
        <v>0.0059</v>
      </c>
      <c r="T169" s="0" t="n">
        <v>-1</v>
      </c>
      <c r="U169" s="0" t="n">
        <v>0.0122</v>
      </c>
      <c r="V169" s="0" t="s">
        <v>46</v>
      </c>
      <c r="W169" s="0" t="s">
        <v>46</v>
      </c>
      <c r="X169" s="0" t="s">
        <v>46</v>
      </c>
      <c r="Y169" s="0" t="s">
        <v>46</v>
      </c>
      <c r="Z169" s="0" t="s">
        <v>46</v>
      </c>
      <c r="AA169" s="0" t="s">
        <v>46</v>
      </c>
      <c r="AB169" s="0" t="s">
        <v>46</v>
      </c>
      <c r="AC169" s="0" t="s">
        <v>50</v>
      </c>
      <c r="AD169" s="0" t="s">
        <v>51</v>
      </c>
      <c r="AE169" s="0" t="s">
        <v>1156</v>
      </c>
      <c r="AF169" s="0" t="s">
        <v>1157</v>
      </c>
      <c r="AG169" s="0" t="s">
        <v>1158</v>
      </c>
      <c r="AH169" s="0" t="s">
        <v>46</v>
      </c>
      <c r="AI169" s="0" t="s">
        <v>46</v>
      </c>
      <c r="AJ169" s="0" t="s">
        <v>46</v>
      </c>
      <c r="AK169" s="0" t="s">
        <v>46</v>
      </c>
      <c r="AL169" s="0" t="s">
        <v>46</v>
      </c>
    </row>
    <row r="170" customFormat="false" ht="15" hidden="false" customHeight="false" outlineLevel="0" collapsed="false">
      <c r="B170" s="0" t="str">
        <f aca="false">HYPERLINK("https://genome.ucsc.edu/cgi-bin/hgTracks?db=hg19&amp;position=chr15%3A99442891%2D99442891", "chr15:99442891")</f>
        <v>chr15:99442891</v>
      </c>
      <c r="C170" s="0" t="s">
        <v>196</v>
      </c>
      <c r="D170" s="0" t="n">
        <v>99442891</v>
      </c>
      <c r="E170" s="0" t="n">
        <v>99442891</v>
      </c>
      <c r="F170" s="0" t="s">
        <v>57</v>
      </c>
      <c r="G170" s="0" t="s">
        <v>40</v>
      </c>
      <c r="H170" s="0" t="s">
        <v>1159</v>
      </c>
      <c r="I170" s="0" t="s">
        <v>1160</v>
      </c>
      <c r="J170" s="0" t="s">
        <v>1161</v>
      </c>
      <c r="K170" s="0" t="s">
        <v>46</v>
      </c>
      <c r="L170" s="0" t="str">
        <f aca="false">HYPERLINK("https://www.ncbi.nlm.nih.gov/snp/rs17847198", "rs17847198")</f>
        <v>rs17847198</v>
      </c>
      <c r="M170" s="0" t="str">
        <f aca="false">HYPERLINK("https://www.genecards.org/Search/Keyword?queryString=%5Baliases%5D(%20AF020763%20)%20OR%20%5Baliases%5D(%20IGF1R%20)&amp;keywords=AF020763,IGF1R", "AF020763;IGF1R")</f>
        <v>AF020763;IGF1R</v>
      </c>
      <c r="N170" s="0" t="s">
        <v>704</v>
      </c>
      <c r="O170" s="0" t="s">
        <v>46</v>
      </c>
      <c r="P170" s="0" t="s">
        <v>46</v>
      </c>
      <c r="Q170" s="0" t="n">
        <v>0.0154</v>
      </c>
      <c r="R170" s="0" t="n">
        <v>0.0151</v>
      </c>
      <c r="S170" s="0" t="n">
        <v>0.0154</v>
      </c>
      <c r="T170" s="0" t="n">
        <v>-1</v>
      </c>
      <c r="U170" s="0" t="n">
        <v>0.0131</v>
      </c>
      <c r="V170" s="0" t="s">
        <v>46</v>
      </c>
      <c r="W170" s="0" t="s">
        <v>46</v>
      </c>
      <c r="X170" s="0" t="s">
        <v>307</v>
      </c>
      <c r="Y170" s="0" t="s">
        <v>48</v>
      </c>
      <c r="Z170" s="0" t="s">
        <v>46</v>
      </c>
      <c r="AA170" s="0" t="s">
        <v>46</v>
      </c>
      <c r="AB170" s="0" t="s">
        <v>46</v>
      </c>
      <c r="AC170" s="0" t="s">
        <v>50</v>
      </c>
      <c r="AD170" s="0" t="s">
        <v>1162</v>
      </c>
      <c r="AE170" s="0" t="s">
        <v>211</v>
      </c>
      <c r="AF170" s="0" t="s">
        <v>212</v>
      </c>
      <c r="AG170" s="0" t="s">
        <v>213</v>
      </c>
      <c r="AH170" s="0" t="s">
        <v>214</v>
      </c>
      <c r="AI170" s="0" t="s">
        <v>46</v>
      </c>
      <c r="AJ170" s="0" t="s">
        <v>46</v>
      </c>
      <c r="AK170" s="0" t="s">
        <v>46</v>
      </c>
      <c r="AL170" s="0" t="s">
        <v>46</v>
      </c>
    </row>
    <row r="171" customFormat="false" ht="15" hidden="false" customHeight="false" outlineLevel="0" collapsed="false">
      <c r="B171" s="0" t="str">
        <f aca="false">HYPERLINK("https://genome.ucsc.edu/cgi-bin/hgTracks?db=hg19&amp;position=chr15%3A99503084%2D99503084", "chr15:99503084")</f>
        <v>chr15:99503084</v>
      </c>
      <c r="C171" s="0" t="s">
        <v>196</v>
      </c>
      <c r="D171" s="0" t="n">
        <v>99503084</v>
      </c>
      <c r="E171" s="0" t="n">
        <v>99503084</v>
      </c>
      <c r="F171" s="0" t="s">
        <v>185</v>
      </c>
      <c r="G171" s="0" t="s">
        <v>57</v>
      </c>
      <c r="H171" s="0" t="s">
        <v>1163</v>
      </c>
      <c r="I171" s="0" t="s">
        <v>1164</v>
      </c>
      <c r="J171" s="0" t="s">
        <v>1165</v>
      </c>
      <c r="K171" s="0" t="s">
        <v>46</v>
      </c>
      <c r="L171" s="0" t="s">
        <v>46</v>
      </c>
      <c r="M171" s="0" t="str">
        <f aca="false">HYPERLINK("https://www.genecards.org/Search/Keyword?queryString=%5Baliases%5D(%20IGF1R%20)&amp;keywords=IGF1R", "IGF1R")</f>
        <v>IGF1R</v>
      </c>
      <c r="N171" s="0" t="s">
        <v>208</v>
      </c>
      <c r="O171" s="0" t="s">
        <v>46</v>
      </c>
      <c r="P171" s="0" t="s">
        <v>1166</v>
      </c>
      <c r="Q171" s="0" t="n">
        <v>-1</v>
      </c>
      <c r="R171" s="0" t="n">
        <v>-1</v>
      </c>
      <c r="S171" s="0" t="n">
        <v>-1</v>
      </c>
      <c r="T171" s="0" t="n">
        <v>-1</v>
      </c>
      <c r="U171" s="0" t="n">
        <v>-1</v>
      </c>
      <c r="V171" s="0" t="s">
        <v>46</v>
      </c>
      <c r="W171" s="0" t="s">
        <v>46</v>
      </c>
      <c r="X171" s="0" t="s">
        <v>46</v>
      </c>
      <c r="Y171" s="0" t="s">
        <v>46</v>
      </c>
      <c r="Z171" s="0" t="s">
        <v>46</v>
      </c>
      <c r="AA171" s="0" t="s">
        <v>46</v>
      </c>
      <c r="AB171" s="0" t="s">
        <v>46</v>
      </c>
      <c r="AC171" s="0" t="s">
        <v>254</v>
      </c>
      <c r="AD171" s="0" t="s">
        <v>210</v>
      </c>
      <c r="AE171" s="0" t="s">
        <v>211</v>
      </c>
      <c r="AF171" s="0" t="s">
        <v>212</v>
      </c>
      <c r="AG171" s="0" t="s">
        <v>213</v>
      </c>
      <c r="AH171" s="0" t="s">
        <v>214</v>
      </c>
      <c r="AI171" s="0" t="s">
        <v>46</v>
      </c>
      <c r="AJ171" s="0" t="s">
        <v>46</v>
      </c>
      <c r="AK171" s="0" t="s">
        <v>46</v>
      </c>
      <c r="AL171" s="0" t="s">
        <v>46</v>
      </c>
    </row>
    <row r="172" customFormat="false" ht="15" hidden="false" customHeight="false" outlineLevel="0" collapsed="false">
      <c r="B172" s="0" t="str">
        <f aca="false">HYPERLINK("https://genome.ucsc.edu/cgi-bin/hgTracks?db=hg19&amp;position=chr15%3A99506444%2D99506444", "chr15:99506444")</f>
        <v>chr15:99506444</v>
      </c>
      <c r="C172" s="0" t="s">
        <v>196</v>
      </c>
      <c r="D172" s="0" t="n">
        <v>99506444</v>
      </c>
      <c r="E172" s="0" t="n">
        <v>99506444</v>
      </c>
      <c r="F172" s="0" t="s">
        <v>82</v>
      </c>
      <c r="G172" s="0" t="s">
        <v>185</v>
      </c>
      <c r="H172" s="0" t="s">
        <v>1167</v>
      </c>
      <c r="I172" s="0" t="s">
        <v>59</v>
      </c>
      <c r="J172" s="0" t="s">
        <v>1168</v>
      </c>
      <c r="K172" s="0" t="s">
        <v>46</v>
      </c>
      <c r="L172" s="0" t="s">
        <v>46</v>
      </c>
      <c r="M172" s="0" t="str">
        <f aca="false">HYPERLINK("https://www.genecards.org/Search/Keyword?queryString=%5Baliases%5D(%20IGF1R%20)&amp;keywords=IGF1R", "IGF1R")</f>
        <v>IGF1R</v>
      </c>
      <c r="N172" s="0" t="s">
        <v>208</v>
      </c>
      <c r="O172" s="0" t="s">
        <v>46</v>
      </c>
      <c r="P172" s="0" t="s">
        <v>1169</v>
      </c>
      <c r="Q172" s="0" t="n">
        <v>-1</v>
      </c>
      <c r="R172" s="0" t="n">
        <v>-1</v>
      </c>
      <c r="S172" s="0" t="n">
        <v>-1</v>
      </c>
      <c r="T172" s="0" t="n">
        <v>-1</v>
      </c>
      <c r="U172" s="0" t="n">
        <v>-1</v>
      </c>
      <c r="V172" s="0" t="s">
        <v>46</v>
      </c>
      <c r="W172" s="0" t="s">
        <v>46</v>
      </c>
      <c r="X172" s="0" t="s">
        <v>46</v>
      </c>
      <c r="Y172" s="0" t="s">
        <v>46</v>
      </c>
      <c r="Z172" s="0" t="s">
        <v>46</v>
      </c>
      <c r="AA172" s="0" t="s">
        <v>46</v>
      </c>
      <c r="AB172" s="0" t="s">
        <v>46</v>
      </c>
      <c r="AC172" s="0" t="s">
        <v>254</v>
      </c>
      <c r="AD172" s="0" t="s">
        <v>210</v>
      </c>
      <c r="AE172" s="0" t="s">
        <v>211</v>
      </c>
      <c r="AF172" s="0" t="s">
        <v>212</v>
      </c>
      <c r="AG172" s="0" t="s">
        <v>213</v>
      </c>
      <c r="AH172" s="0" t="s">
        <v>214</v>
      </c>
      <c r="AI172" s="0" t="s">
        <v>46</v>
      </c>
      <c r="AJ172" s="0" t="s">
        <v>46</v>
      </c>
      <c r="AK172" s="0" t="s">
        <v>46</v>
      </c>
      <c r="AL172" s="0" t="s">
        <v>46</v>
      </c>
    </row>
    <row r="173" customFormat="false" ht="15" hidden="false" customHeight="false" outlineLevel="0" collapsed="false">
      <c r="B173" s="0" t="str">
        <f aca="false">HYPERLINK("https://genome.ucsc.edu/cgi-bin/hgTracks?db=hg19&amp;position=chr15%3A100512482%2D100512486", "chr15:100512482")</f>
        <v>chr15:100512482</v>
      </c>
      <c r="C173" s="0" t="s">
        <v>196</v>
      </c>
      <c r="D173" s="0" t="n">
        <v>100512482</v>
      </c>
      <c r="E173" s="0" t="n">
        <v>100512486</v>
      </c>
      <c r="F173" s="0" t="s">
        <v>1170</v>
      </c>
      <c r="G173" s="0" t="s">
        <v>185</v>
      </c>
      <c r="H173" s="0" t="s">
        <v>1171</v>
      </c>
      <c r="I173" s="0" t="s">
        <v>1172</v>
      </c>
      <c r="J173" s="0" t="s">
        <v>1173</v>
      </c>
      <c r="K173" s="0" t="s">
        <v>46</v>
      </c>
      <c r="L173" s="0" t="s">
        <v>46</v>
      </c>
      <c r="M173" s="0" t="str">
        <f aca="false">HYPERLINK("https://www.genecards.org/Search/Keyword?queryString=%5Baliases%5D(%20ADAMTS17%20)&amp;keywords=ADAMTS17", "ADAMTS17")</f>
        <v>ADAMTS17</v>
      </c>
      <c r="N173" s="0" t="s">
        <v>208</v>
      </c>
      <c r="O173" s="0" t="s">
        <v>46</v>
      </c>
      <c r="P173" s="0" t="s">
        <v>1174</v>
      </c>
      <c r="Q173" s="0" t="n">
        <v>0.0009</v>
      </c>
      <c r="R173" s="0" t="n">
        <v>0.001</v>
      </c>
      <c r="S173" s="0" t="n">
        <v>0.0007</v>
      </c>
      <c r="T173" s="0" t="n">
        <v>-1</v>
      </c>
      <c r="U173" s="0" t="n">
        <v>0.0018</v>
      </c>
      <c r="V173" s="0" t="s">
        <v>46</v>
      </c>
      <c r="W173" s="0" t="s">
        <v>46</v>
      </c>
      <c r="X173" s="0" t="s">
        <v>46</v>
      </c>
      <c r="Y173" s="0" t="s">
        <v>46</v>
      </c>
      <c r="Z173" s="0" t="s">
        <v>46</v>
      </c>
      <c r="AA173" s="0" t="s">
        <v>46</v>
      </c>
      <c r="AB173" s="0" t="s">
        <v>46</v>
      </c>
      <c r="AC173" s="0" t="s">
        <v>50</v>
      </c>
      <c r="AD173" s="0" t="s">
        <v>147</v>
      </c>
      <c r="AE173" s="0" t="s">
        <v>220</v>
      </c>
      <c r="AF173" s="0" t="s">
        <v>221</v>
      </c>
      <c r="AG173" s="0" t="s">
        <v>46</v>
      </c>
      <c r="AH173" s="0" t="s">
        <v>222</v>
      </c>
      <c r="AI173" s="0" t="s">
        <v>46</v>
      </c>
      <c r="AJ173" s="0" t="s">
        <v>46</v>
      </c>
      <c r="AK173" s="0" t="s">
        <v>46</v>
      </c>
      <c r="AL173" s="0" t="s">
        <v>46</v>
      </c>
    </row>
    <row r="174" customFormat="false" ht="15" hidden="false" customHeight="false" outlineLevel="0" collapsed="false">
      <c r="B174" s="0" t="str">
        <f aca="false">HYPERLINK("https://genome.ucsc.edu/cgi-bin/hgTracks?db=hg19&amp;position=chr16%3A110031%2D110031", "chr16:110031")</f>
        <v>chr16:110031</v>
      </c>
      <c r="C174" s="0" t="s">
        <v>223</v>
      </c>
      <c r="D174" s="0" t="n">
        <v>110031</v>
      </c>
      <c r="E174" s="0" t="n">
        <v>110031</v>
      </c>
      <c r="F174" s="0" t="s">
        <v>82</v>
      </c>
      <c r="G174" s="0" t="s">
        <v>40</v>
      </c>
      <c r="H174" s="0" t="s">
        <v>1175</v>
      </c>
      <c r="I174" s="0" t="s">
        <v>656</v>
      </c>
      <c r="J174" s="0" t="s">
        <v>1176</v>
      </c>
      <c r="K174" s="0" t="s">
        <v>46</v>
      </c>
      <c r="L174" s="0" t="str">
        <f aca="false">HYPERLINK("https://www.ncbi.nlm.nih.gov/snp/rs1018603246", "rs1018603246")</f>
        <v>rs1018603246</v>
      </c>
      <c r="M174" s="0" t="str">
        <f aca="false">HYPERLINK("https://www.genecards.org/Search/Keyword?queryString=%5Baliases%5D(%20RHBDF1%20)&amp;keywords=RHBDF1", "RHBDF1")</f>
        <v>RHBDF1</v>
      </c>
      <c r="N174" s="0" t="s">
        <v>45</v>
      </c>
      <c r="O174" s="0" t="s">
        <v>46</v>
      </c>
      <c r="P174" s="0" t="s">
        <v>46</v>
      </c>
      <c r="Q174" s="0" t="n">
        <v>-1</v>
      </c>
      <c r="R174" s="0" t="n">
        <v>-1</v>
      </c>
      <c r="S174" s="0" t="n">
        <v>-1</v>
      </c>
      <c r="T174" s="0" t="n">
        <v>-1</v>
      </c>
      <c r="U174" s="0" t="n">
        <v>-1</v>
      </c>
      <c r="V174" s="0" t="s">
        <v>46</v>
      </c>
      <c r="W174" s="0" t="s">
        <v>46</v>
      </c>
      <c r="X174" s="0" t="s">
        <v>47</v>
      </c>
      <c r="Y174" s="0" t="s">
        <v>48</v>
      </c>
      <c r="Z174" s="0" t="s">
        <v>46</v>
      </c>
      <c r="AA174" s="0" t="s">
        <v>46</v>
      </c>
      <c r="AB174" s="0" t="s">
        <v>46</v>
      </c>
      <c r="AC174" s="0" t="s">
        <v>50</v>
      </c>
      <c r="AD174" s="0" t="s">
        <v>51</v>
      </c>
      <c r="AE174" s="0" t="s">
        <v>1177</v>
      </c>
      <c r="AF174" s="0" t="s">
        <v>1178</v>
      </c>
      <c r="AG174" s="0" t="s">
        <v>1179</v>
      </c>
      <c r="AH174" s="0" t="s">
        <v>46</v>
      </c>
      <c r="AI174" s="0" t="s">
        <v>46</v>
      </c>
      <c r="AJ174" s="0" t="s">
        <v>46</v>
      </c>
      <c r="AK174" s="0" t="s">
        <v>46</v>
      </c>
      <c r="AL174" s="0" t="s">
        <v>46</v>
      </c>
    </row>
    <row r="175" customFormat="false" ht="15" hidden="false" customHeight="false" outlineLevel="0" collapsed="false">
      <c r="B175" s="0" t="str">
        <f aca="false">HYPERLINK("https://genome.ucsc.edu/cgi-bin/hgTracks?db=hg19&amp;position=chr16%3A2168533%2D2168533", "chr16:2168533")</f>
        <v>chr16:2168533</v>
      </c>
      <c r="C175" s="0" t="s">
        <v>223</v>
      </c>
      <c r="D175" s="0" t="n">
        <v>2168533</v>
      </c>
      <c r="E175" s="0" t="n">
        <v>2168533</v>
      </c>
      <c r="F175" s="0" t="s">
        <v>40</v>
      </c>
      <c r="G175" s="0" t="s">
        <v>82</v>
      </c>
      <c r="H175" s="0" t="s">
        <v>1180</v>
      </c>
      <c r="I175" s="0" t="s">
        <v>847</v>
      </c>
      <c r="J175" s="0" t="s">
        <v>1181</v>
      </c>
      <c r="K175" s="0" t="s">
        <v>46</v>
      </c>
      <c r="L175" s="0" t="str">
        <f aca="false">HYPERLINK("https://www.ncbi.nlm.nih.gov/snp/rs56371853", "rs56371853")</f>
        <v>rs56371853</v>
      </c>
      <c r="M175" s="0" t="str">
        <f aca="false">HYPERLINK("https://www.genecards.org/Search/Keyword?queryString=%5Baliases%5D(%20PKD1%20)&amp;keywords=PKD1", "PKD1")</f>
        <v>PKD1</v>
      </c>
      <c r="N175" s="0" t="s">
        <v>45</v>
      </c>
      <c r="O175" s="0" t="s">
        <v>46</v>
      </c>
      <c r="P175" s="0" t="s">
        <v>46</v>
      </c>
      <c r="Q175" s="0" t="n">
        <v>0.0262</v>
      </c>
      <c r="R175" s="0" t="n">
        <v>0.0254</v>
      </c>
      <c r="S175" s="0" t="n">
        <v>0.0234</v>
      </c>
      <c r="T175" s="0" t="n">
        <v>-1</v>
      </c>
      <c r="U175" s="0" t="n">
        <v>0.0319</v>
      </c>
      <c r="V175" s="0" t="s">
        <v>46</v>
      </c>
      <c r="W175" s="0" t="s">
        <v>46</v>
      </c>
      <c r="X175" s="0" t="s">
        <v>354</v>
      </c>
      <c r="Y175" s="0" t="s">
        <v>48</v>
      </c>
      <c r="Z175" s="0" t="s">
        <v>46</v>
      </c>
      <c r="AA175" s="0" t="s">
        <v>46</v>
      </c>
      <c r="AB175" s="0" t="s">
        <v>46</v>
      </c>
      <c r="AC175" s="0" t="s">
        <v>50</v>
      </c>
      <c r="AD175" s="0" t="s">
        <v>51</v>
      </c>
      <c r="AE175" s="0" t="s">
        <v>1182</v>
      </c>
      <c r="AF175" s="0" t="s">
        <v>1183</v>
      </c>
      <c r="AG175" s="0" t="s">
        <v>1184</v>
      </c>
      <c r="AH175" s="0" t="s">
        <v>1185</v>
      </c>
      <c r="AI175" s="0" t="s">
        <v>46</v>
      </c>
      <c r="AJ175" s="0" t="s">
        <v>46</v>
      </c>
      <c r="AK175" s="0" t="s">
        <v>46</v>
      </c>
      <c r="AL175" s="0" t="s">
        <v>46</v>
      </c>
    </row>
    <row r="176" customFormat="false" ht="15" hidden="false" customHeight="false" outlineLevel="0" collapsed="false">
      <c r="B176" s="0" t="str">
        <f aca="false">HYPERLINK("https://genome.ucsc.edu/cgi-bin/hgTracks?db=hg19&amp;position=chr16%3A2226435%2D2226435", "chr16:2226435")</f>
        <v>chr16:2226435</v>
      </c>
      <c r="C176" s="0" t="s">
        <v>223</v>
      </c>
      <c r="D176" s="0" t="n">
        <v>2226435</v>
      </c>
      <c r="E176" s="0" t="n">
        <v>2226435</v>
      </c>
      <c r="F176" s="0" t="s">
        <v>39</v>
      </c>
      <c r="G176" s="0" t="s">
        <v>57</v>
      </c>
      <c r="H176" s="0" t="s">
        <v>1186</v>
      </c>
      <c r="I176" s="0" t="s">
        <v>450</v>
      </c>
      <c r="J176" s="0" t="s">
        <v>1187</v>
      </c>
      <c r="K176" s="0" t="s">
        <v>46</v>
      </c>
      <c r="L176" s="0" t="str">
        <f aca="false">HYPERLINK("https://www.ncbi.nlm.nih.gov/snp/rs62038842", "rs62038842")</f>
        <v>rs62038842</v>
      </c>
      <c r="M176" s="0" t="str">
        <f aca="false">HYPERLINK("https://www.genecards.org/Search/Keyword?queryString=%5Baliases%5D(%20TRAF7%20)&amp;keywords=TRAF7", "TRAF7")</f>
        <v>TRAF7</v>
      </c>
      <c r="N176" s="0" t="s">
        <v>45</v>
      </c>
      <c r="O176" s="0" t="s">
        <v>46</v>
      </c>
      <c r="P176" s="0" t="s">
        <v>46</v>
      </c>
      <c r="Q176" s="0" t="n">
        <v>0.0262</v>
      </c>
      <c r="R176" s="0" t="n">
        <v>0.0239</v>
      </c>
      <c r="S176" s="0" t="n">
        <v>0.0221</v>
      </c>
      <c r="T176" s="0" t="n">
        <v>-1</v>
      </c>
      <c r="U176" s="0" t="n">
        <v>0.029</v>
      </c>
      <c r="V176" s="0" t="s">
        <v>46</v>
      </c>
      <c r="W176" s="0" t="s">
        <v>46</v>
      </c>
      <c r="X176" s="0" t="s">
        <v>47</v>
      </c>
      <c r="Y176" s="0" t="s">
        <v>48</v>
      </c>
      <c r="Z176" s="0" t="s">
        <v>46</v>
      </c>
      <c r="AA176" s="0" t="s">
        <v>46</v>
      </c>
      <c r="AB176" s="0" t="s">
        <v>46</v>
      </c>
      <c r="AC176" s="0" t="s">
        <v>50</v>
      </c>
      <c r="AD176" s="0" t="s">
        <v>51</v>
      </c>
      <c r="AE176" s="0" t="s">
        <v>1188</v>
      </c>
      <c r="AF176" s="0" t="s">
        <v>1189</v>
      </c>
      <c r="AG176" s="0" t="s">
        <v>1190</v>
      </c>
      <c r="AH176" s="0" t="s">
        <v>46</v>
      </c>
      <c r="AI176" s="0" t="s">
        <v>46</v>
      </c>
      <c r="AJ176" s="0" t="s">
        <v>46</v>
      </c>
      <c r="AK176" s="0" t="s">
        <v>46</v>
      </c>
      <c r="AL176" s="0" t="s">
        <v>46</v>
      </c>
    </row>
    <row r="177" customFormat="false" ht="15" hidden="false" customHeight="false" outlineLevel="0" collapsed="false">
      <c r="B177" s="0" t="str">
        <f aca="false">HYPERLINK("https://genome.ucsc.edu/cgi-bin/hgTracks?db=hg19&amp;position=chr16%3A4466288%2D4466288", "chr16:4466288")</f>
        <v>chr16:4466288</v>
      </c>
      <c r="C177" s="0" t="s">
        <v>223</v>
      </c>
      <c r="D177" s="0" t="n">
        <v>4466288</v>
      </c>
      <c r="E177" s="0" t="n">
        <v>4466288</v>
      </c>
      <c r="F177" s="0" t="s">
        <v>39</v>
      </c>
      <c r="G177" s="0" t="s">
        <v>82</v>
      </c>
      <c r="H177" s="0" t="s">
        <v>1191</v>
      </c>
      <c r="I177" s="0" t="s">
        <v>1003</v>
      </c>
      <c r="J177" s="0" t="s">
        <v>1004</v>
      </c>
      <c r="K177" s="0" t="s">
        <v>46</v>
      </c>
      <c r="L177" s="0" t="str">
        <f aca="false">HYPERLINK("https://www.ncbi.nlm.nih.gov/snp/rs112681045", "rs112681045")</f>
        <v>rs112681045</v>
      </c>
      <c r="M177" s="0" t="str">
        <f aca="false">HYPERLINK("https://www.genecards.org/Search/Keyword?queryString=%5Baliases%5D(%20CORO7%20)%20OR%20%5Baliases%5D(%20CORO7-PAM16%20)&amp;keywords=CORO7,CORO7-PAM16", "CORO7;CORO7-PAM16")</f>
        <v>CORO7;CORO7-PAM16</v>
      </c>
      <c r="N177" s="0" t="s">
        <v>45</v>
      </c>
      <c r="O177" s="0" t="s">
        <v>46</v>
      </c>
      <c r="P177" s="0" t="s">
        <v>46</v>
      </c>
      <c r="Q177" s="0" t="n">
        <v>0.0081</v>
      </c>
      <c r="R177" s="0" t="n">
        <v>0.0048</v>
      </c>
      <c r="S177" s="0" t="n">
        <v>0.0047</v>
      </c>
      <c r="T177" s="0" t="n">
        <v>-1</v>
      </c>
      <c r="U177" s="0" t="n">
        <v>0.006</v>
      </c>
      <c r="V177" s="0" t="s">
        <v>46</v>
      </c>
      <c r="W177" s="0" t="s">
        <v>46</v>
      </c>
      <c r="X177" s="0" t="s">
        <v>47</v>
      </c>
      <c r="Y177" s="0" t="s">
        <v>48</v>
      </c>
      <c r="Z177" s="0" t="s">
        <v>46</v>
      </c>
      <c r="AA177" s="0" t="s">
        <v>46</v>
      </c>
      <c r="AB177" s="0" t="s">
        <v>46</v>
      </c>
      <c r="AC177" s="0" t="s">
        <v>50</v>
      </c>
      <c r="AD177" s="0" t="s">
        <v>191</v>
      </c>
      <c r="AE177" s="0" t="s">
        <v>1192</v>
      </c>
      <c r="AF177" s="0" t="s">
        <v>1193</v>
      </c>
      <c r="AG177" s="0" t="s">
        <v>1194</v>
      </c>
      <c r="AH177" s="0" t="s">
        <v>46</v>
      </c>
      <c r="AI177" s="0" t="s">
        <v>46</v>
      </c>
      <c r="AJ177" s="0" t="s">
        <v>46</v>
      </c>
      <c r="AK177" s="0" t="s">
        <v>46</v>
      </c>
      <c r="AL177" s="0" t="s">
        <v>46</v>
      </c>
    </row>
    <row r="178" customFormat="false" ht="15" hidden="false" customHeight="false" outlineLevel="0" collapsed="false">
      <c r="B178" s="0" t="str">
        <f aca="false">HYPERLINK("https://genome.ucsc.edu/cgi-bin/hgTracks?db=hg19&amp;position=chr16%3A7703704%2D7703704", "chr16:7703704")</f>
        <v>chr16:7703704</v>
      </c>
      <c r="C178" s="0" t="s">
        <v>223</v>
      </c>
      <c r="D178" s="0" t="n">
        <v>7703704</v>
      </c>
      <c r="E178" s="0" t="n">
        <v>7703704</v>
      </c>
      <c r="F178" s="0" t="s">
        <v>39</v>
      </c>
      <c r="G178" s="0" t="s">
        <v>57</v>
      </c>
      <c r="H178" s="0" t="s">
        <v>1195</v>
      </c>
      <c r="I178" s="0" t="s">
        <v>725</v>
      </c>
      <c r="J178" s="0" t="s">
        <v>1196</v>
      </c>
      <c r="K178" s="0" t="s">
        <v>46</v>
      </c>
      <c r="L178" s="0" t="str">
        <f aca="false">HYPERLINK("https://www.ncbi.nlm.nih.gov/snp/rs143224307", "rs143224307")</f>
        <v>rs143224307</v>
      </c>
      <c r="M178" s="0" t="str">
        <f aca="false">HYPERLINK("https://www.genecards.org/Search/Keyword?queryString=%5Baliases%5D(%20RBFOX1%20)&amp;keywords=RBFOX1", "RBFOX1")</f>
        <v>RBFOX1</v>
      </c>
      <c r="N178" s="0" t="s">
        <v>45</v>
      </c>
      <c r="O178" s="0" t="s">
        <v>46</v>
      </c>
      <c r="P178" s="0" t="s">
        <v>46</v>
      </c>
      <c r="Q178" s="0" t="n">
        <v>0.0139</v>
      </c>
      <c r="R178" s="0" t="n">
        <v>0.0077</v>
      </c>
      <c r="S178" s="0" t="n">
        <v>0.008</v>
      </c>
      <c r="T178" s="0" t="n">
        <v>-1</v>
      </c>
      <c r="U178" s="0" t="n">
        <v>0.0045</v>
      </c>
      <c r="V178" s="0" t="s">
        <v>46</v>
      </c>
      <c r="W178" s="0" t="s">
        <v>46</v>
      </c>
      <c r="X178" s="0" t="s">
        <v>354</v>
      </c>
      <c r="Y178" s="0" t="s">
        <v>48</v>
      </c>
      <c r="Z178" s="0" t="s">
        <v>46</v>
      </c>
      <c r="AA178" s="0" t="s">
        <v>46</v>
      </c>
      <c r="AB178" s="0" t="s">
        <v>46</v>
      </c>
      <c r="AC178" s="0" t="s">
        <v>50</v>
      </c>
      <c r="AD178" s="0" t="s">
        <v>51</v>
      </c>
      <c r="AE178" s="0" t="s">
        <v>1197</v>
      </c>
      <c r="AF178" s="0" t="s">
        <v>1198</v>
      </c>
      <c r="AG178" s="0" t="s">
        <v>1199</v>
      </c>
      <c r="AH178" s="0" t="s">
        <v>46</v>
      </c>
      <c r="AI178" s="0" t="s">
        <v>46</v>
      </c>
      <c r="AJ178" s="0" t="s">
        <v>46</v>
      </c>
      <c r="AK178" s="0" t="s">
        <v>46</v>
      </c>
      <c r="AL178" s="0" t="s">
        <v>46</v>
      </c>
    </row>
    <row r="179" customFormat="false" ht="15" hidden="false" customHeight="false" outlineLevel="0" collapsed="false">
      <c r="B179" s="0" t="str">
        <f aca="false">HYPERLINK("https://genome.ucsc.edu/cgi-bin/hgTracks?db=hg19&amp;position=chr16%3A24873450%2D24873450", "chr16:24873450")</f>
        <v>chr16:24873450</v>
      </c>
      <c r="C179" s="0" t="s">
        <v>223</v>
      </c>
      <c r="D179" s="0" t="n">
        <v>24873450</v>
      </c>
      <c r="E179" s="0" t="n">
        <v>24873450</v>
      </c>
      <c r="F179" s="0" t="s">
        <v>82</v>
      </c>
      <c r="G179" s="0" t="s">
        <v>39</v>
      </c>
      <c r="H179" s="0" t="s">
        <v>1200</v>
      </c>
      <c r="I179" s="0" t="s">
        <v>296</v>
      </c>
      <c r="J179" s="0" t="s">
        <v>1201</v>
      </c>
      <c r="K179" s="0" t="s">
        <v>46</v>
      </c>
      <c r="L179" s="0" t="str">
        <f aca="false">HYPERLINK("https://www.ncbi.nlm.nih.gov/snp/rs184131516", "rs184131516")</f>
        <v>rs184131516</v>
      </c>
      <c r="M179" s="0" t="str">
        <f aca="false">HYPERLINK("https://www.genecards.org/Search/Keyword?queryString=%5Baliases%5D(%20SLC5A11%20)&amp;keywords=SLC5A11", "SLC5A11")</f>
        <v>SLC5A11</v>
      </c>
      <c r="N179" s="0" t="s">
        <v>45</v>
      </c>
      <c r="O179" s="0" t="s">
        <v>46</v>
      </c>
      <c r="P179" s="0" t="s">
        <v>46</v>
      </c>
      <c r="Q179" s="0" t="n">
        <v>0.0159</v>
      </c>
      <c r="R179" s="0" t="n">
        <v>0.0169</v>
      </c>
      <c r="S179" s="0" t="n">
        <v>0.0161</v>
      </c>
      <c r="T179" s="0" t="n">
        <v>-1</v>
      </c>
      <c r="U179" s="0" t="n">
        <v>0.0206</v>
      </c>
      <c r="V179" s="0" t="s">
        <v>46</v>
      </c>
      <c r="W179" s="0" t="s">
        <v>46</v>
      </c>
      <c r="X179" s="0" t="s">
        <v>354</v>
      </c>
      <c r="Y179" s="0" t="s">
        <v>48</v>
      </c>
      <c r="Z179" s="0" t="s">
        <v>46</v>
      </c>
      <c r="AA179" s="0" t="s">
        <v>46</v>
      </c>
      <c r="AB179" s="0" t="s">
        <v>46</v>
      </c>
      <c r="AC179" s="0" t="s">
        <v>50</v>
      </c>
      <c r="AD179" s="0" t="s">
        <v>51</v>
      </c>
      <c r="AE179" s="0" t="s">
        <v>1202</v>
      </c>
      <c r="AF179" s="0" t="s">
        <v>1203</v>
      </c>
      <c r="AG179" s="0" t="s">
        <v>1204</v>
      </c>
      <c r="AH179" s="0" t="s">
        <v>46</v>
      </c>
      <c r="AI179" s="0" t="s">
        <v>46</v>
      </c>
      <c r="AJ179" s="0" t="s">
        <v>46</v>
      </c>
      <c r="AK179" s="0" t="s">
        <v>46</v>
      </c>
      <c r="AL179" s="0" t="s">
        <v>46</v>
      </c>
    </row>
    <row r="180" customFormat="false" ht="15" hidden="false" customHeight="false" outlineLevel="0" collapsed="false">
      <c r="B180" s="0" t="str">
        <f aca="false">HYPERLINK("https://genome.ucsc.edu/cgi-bin/hgTracks?db=hg19&amp;position=chr16%3A28620025%2D28620025", "chr16:28620025")</f>
        <v>chr16:28620025</v>
      </c>
      <c r="C180" s="0" t="s">
        <v>223</v>
      </c>
      <c r="D180" s="0" t="n">
        <v>28620025</v>
      </c>
      <c r="E180" s="0" t="n">
        <v>28620025</v>
      </c>
      <c r="F180" s="0" t="s">
        <v>82</v>
      </c>
      <c r="G180" s="0" t="s">
        <v>40</v>
      </c>
      <c r="H180" s="0" t="s">
        <v>1205</v>
      </c>
      <c r="I180" s="0" t="s">
        <v>1206</v>
      </c>
      <c r="J180" s="0" t="s">
        <v>1207</v>
      </c>
      <c r="K180" s="0" t="s">
        <v>46</v>
      </c>
      <c r="L180" s="0" t="str">
        <f aca="false">HYPERLINK("https://www.ncbi.nlm.nih.gov/snp/rs12924616", "rs12924616")</f>
        <v>rs12924616</v>
      </c>
      <c r="M180" s="0" t="str">
        <f aca="false">HYPERLINK("https://www.genecards.org/Search/Keyword?queryString=%5Baliases%5D(%20NPIPL1%20)%20OR%20%5Baliases%5D(%20SULT1A1%20)&amp;keywords=NPIPL1,SULT1A1", "NPIPL1;SULT1A1")</f>
        <v>NPIPL1;SULT1A1</v>
      </c>
      <c r="N180" s="0" t="s">
        <v>45</v>
      </c>
      <c r="O180" s="0" t="s">
        <v>46</v>
      </c>
      <c r="P180" s="0" t="s">
        <v>46</v>
      </c>
      <c r="Q180" s="0" t="n">
        <v>0.010744</v>
      </c>
      <c r="R180" s="0" t="n">
        <v>0.0037</v>
      </c>
      <c r="S180" s="0" t="n">
        <v>0.0051</v>
      </c>
      <c r="T180" s="0" t="n">
        <v>-1</v>
      </c>
      <c r="U180" s="0" t="n">
        <v>0.0025</v>
      </c>
      <c r="V180" s="0" t="s">
        <v>46</v>
      </c>
      <c r="W180" s="0" t="s">
        <v>82</v>
      </c>
      <c r="X180" s="0" t="s">
        <v>354</v>
      </c>
      <c r="Y180" s="0" t="s">
        <v>200</v>
      </c>
      <c r="Z180" s="0" t="s">
        <v>46</v>
      </c>
      <c r="AA180" s="0" t="s">
        <v>46</v>
      </c>
      <c r="AB180" s="0" t="s">
        <v>46</v>
      </c>
      <c r="AC180" s="0" t="s">
        <v>50</v>
      </c>
      <c r="AD180" s="0" t="s">
        <v>191</v>
      </c>
      <c r="AE180" s="0" t="s">
        <v>1208</v>
      </c>
      <c r="AF180" s="0" t="s">
        <v>1209</v>
      </c>
      <c r="AG180" s="0" t="s">
        <v>1210</v>
      </c>
      <c r="AH180" s="0" t="s">
        <v>46</v>
      </c>
      <c r="AI180" s="0" t="s">
        <v>46</v>
      </c>
      <c r="AJ180" s="0" t="s">
        <v>46</v>
      </c>
      <c r="AK180" s="0" t="s">
        <v>46</v>
      </c>
      <c r="AL180" s="0" t="s">
        <v>182</v>
      </c>
    </row>
    <row r="181" customFormat="false" ht="15" hidden="false" customHeight="false" outlineLevel="0" collapsed="false">
      <c r="B181" s="0" t="str">
        <f aca="false">HYPERLINK("https://genome.ucsc.edu/cgi-bin/hgTracks?db=hg19&amp;position=chr16%3A29916232%2D29916232", "chr16:29916232")</f>
        <v>chr16:29916232</v>
      </c>
      <c r="C181" s="0" t="s">
        <v>223</v>
      </c>
      <c r="D181" s="0" t="n">
        <v>29916232</v>
      </c>
      <c r="E181" s="0" t="n">
        <v>29916232</v>
      </c>
      <c r="F181" s="0" t="s">
        <v>39</v>
      </c>
      <c r="G181" s="0" t="s">
        <v>185</v>
      </c>
      <c r="H181" s="0" t="s">
        <v>1211</v>
      </c>
      <c r="I181" s="0" t="s">
        <v>696</v>
      </c>
      <c r="J181" s="0" t="s">
        <v>1212</v>
      </c>
      <c r="K181" s="0" t="s">
        <v>46</v>
      </c>
      <c r="L181" s="0" t="s">
        <v>46</v>
      </c>
      <c r="M181" s="0" t="str">
        <f aca="false">HYPERLINK("https://www.genecards.org/Search/Keyword?queryString=%5Baliases%5D(%20ASPHD1%20)&amp;keywords=ASPHD1", "ASPHD1")</f>
        <v>ASPHD1</v>
      </c>
      <c r="N181" s="0" t="s">
        <v>62</v>
      </c>
      <c r="O181" s="0" t="s">
        <v>262</v>
      </c>
      <c r="P181" s="0" t="s">
        <v>1213</v>
      </c>
      <c r="Q181" s="0" t="n">
        <v>-1</v>
      </c>
      <c r="R181" s="0" t="n">
        <v>-1</v>
      </c>
      <c r="S181" s="0" t="n">
        <v>-1</v>
      </c>
      <c r="T181" s="0" t="n">
        <v>-1</v>
      </c>
      <c r="U181" s="0" t="n">
        <v>-1</v>
      </c>
      <c r="V181" s="0" t="s">
        <v>46</v>
      </c>
      <c r="W181" s="0" t="s">
        <v>46</v>
      </c>
      <c r="X181" s="0" t="s">
        <v>46</v>
      </c>
      <c r="Y181" s="0" t="s">
        <v>46</v>
      </c>
      <c r="Z181" s="0" t="s">
        <v>46</v>
      </c>
      <c r="AA181" s="0" t="s">
        <v>46</v>
      </c>
      <c r="AB181" s="0" t="s">
        <v>46</v>
      </c>
      <c r="AC181" s="0" t="s">
        <v>50</v>
      </c>
      <c r="AD181" s="0" t="s">
        <v>51</v>
      </c>
      <c r="AE181" s="0" t="s">
        <v>1214</v>
      </c>
      <c r="AF181" s="0" t="s">
        <v>1215</v>
      </c>
      <c r="AG181" s="0" t="s">
        <v>46</v>
      </c>
      <c r="AH181" s="0" t="s">
        <v>46</v>
      </c>
      <c r="AI181" s="0" t="s">
        <v>46</v>
      </c>
      <c r="AJ181" s="0" t="s">
        <v>46</v>
      </c>
      <c r="AK181" s="0" t="s">
        <v>46</v>
      </c>
      <c r="AL181" s="0" t="s">
        <v>46</v>
      </c>
    </row>
    <row r="182" customFormat="false" ht="15" hidden="false" customHeight="false" outlineLevel="0" collapsed="false">
      <c r="B182" s="0" t="str">
        <f aca="false">HYPERLINK("https://genome.ucsc.edu/cgi-bin/hgTracks?db=hg19&amp;position=chr16%3A54147725%2D54147725", "chr16:54147725")</f>
        <v>chr16:54147725</v>
      </c>
      <c r="C182" s="0" t="s">
        <v>223</v>
      </c>
      <c r="D182" s="0" t="n">
        <v>54147725</v>
      </c>
      <c r="E182" s="0" t="n">
        <v>54147725</v>
      </c>
      <c r="F182" s="0" t="s">
        <v>82</v>
      </c>
      <c r="G182" s="0" t="s">
        <v>185</v>
      </c>
      <c r="H182" s="0" t="s">
        <v>1216</v>
      </c>
      <c r="I182" s="0" t="s">
        <v>997</v>
      </c>
      <c r="J182" s="0" t="s">
        <v>1217</v>
      </c>
      <c r="K182" s="0" t="s">
        <v>46</v>
      </c>
      <c r="L182" s="0" t="s">
        <v>46</v>
      </c>
      <c r="M182" s="0" t="str">
        <f aca="false">HYPERLINK("https://www.genecards.org/Search/Keyword?queryString=%5Baliases%5D(%20FTO%20)&amp;keywords=FTO", "FTO")</f>
        <v>FTO</v>
      </c>
      <c r="N182" s="0" t="s">
        <v>189</v>
      </c>
      <c r="O182" s="0" t="s">
        <v>46</v>
      </c>
      <c r="P182" s="0" t="s">
        <v>1218</v>
      </c>
      <c r="Q182" s="0" t="n">
        <v>-1</v>
      </c>
      <c r="R182" s="0" t="n">
        <v>-1</v>
      </c>
      <c r="S182" s="0" t="n">
        <v>-1</v>
      </c>
      <c r="T182" s="0" t="n">
        <v>-1</v>
      </c>
      <c r="U182" s="0" t="n">
        <v>-1</v>
      </c>
      <c r="V182" s="0" t="s">
        <v>46</v>
      </c>
      <c r="W182" s="0" t="s">
        <v>46</v>
      </c>
      <c r="X182" s="0" t="s">
        <v>46</v>
      </c>
      <c r="Y182" s="0" t="s">
        <v>46</v>
      </c>
      <c r="Z182" s="0" t="s">
        <v>46</v>
      </c>
      <c r="AA182" s="0" t="s">
        <v>46</v>
      </c>
      <c r="AB182" s="0" t="s">
        <v>46</v>
      </c>
      <c r="AC182" s="0" t="s">
        <v>254</v>
      </c>
      <c r="AD182" s="0" t="s">
        <v>51</v>
      </c>
      <c r="AE182" s="0" t="s">
        <v>1219</v>
      </c>
      <c r="AF182" s="0" t="s">
        <v>1220</v>
      </c>
      <c r="AG182" s="0" t="s">
        <v>1221</v>
      </c>
      <c r="AH182" s="0" t="s">
        <v>1222</v>
      </c>
      <c r="AI182" s="0" t="s">
        <v>46</v>
      </c>
      <c r="AJ182" s="0" t="s">
        <v>46</v>
      </c>
      <c r="AK182" s="0" t="s">
        <v>46</v>
      </c>
      <c r="AL182" s="0" t="s">
        <v>46</v>
      </c>
    </row>
    <row r="183" customFormat="false" ht="15" hidden="false" customHeight="false" outlineLevel="0" collapsed="false">
      <c r="B183" s="0" t="str">
        <f aca="false">HYPERLINK("https://genome.ucsc.edu/cgi-bin/hgTracks?db=hg19&amp;position=chr16%3A70896016%2D70896016", "chr16:70896016")</f>
        <v>chr16:70896016</v>
      </c>
      <c r="C183" s="0" t="s">
        <v>223</v>
      </c>
      <c r="D183" s="0" t="n">
        <v>70896016</v>
      </c>
      <c r="E183" s="0" t="n">
        <v>70896016</v>
      </c>
      <c r="F183" s="0" t="s">
        <v>57</v>
      </c>
      <c r="G183" s="0" t="s">
        <v>185</v>
      </c>
      <c r="H183" s="0" t="s">
        <v>1223</v>
      </c>
      <c r="I183" s="0" t="s">
        <v>1224</v>
      </c>
      <c r="J183" s="0" t="s">
        <v>1225</v>
      </c>
      <c r="K183" s="0" t="s">
        <v>46</v>
      </c>
      <c r="L183" s="0" t="str">
        <f aca="false">HYPERLINK("https://www.ncbi.nlm.nih.gov/snp/rs11337008", "rs11337008")</f>
        <v>rs11337008</v>
      </c>
      <c r="M183" s="0" t="str">
        <f aca="false">HYPERLINK("https://www.genecards.org/Search/Keyword?queryString=%5Baliases%5D(%20HYDIN%20)&amp;keywords=HYDIN", "HYDIN")</f>
        <v>HYDIN</v>
      </c>
      <c r="N183" s="0" t="s">
        <v>62</v>
      </c>
      <c r="O183" s="0" t="s">
        <v>262</v>
      </c>
      <c r="P183" s="0" t="s">
        <v>1226</v>
      </c>
      <c r="Q183" s="0" t="n">
        <v>0.0041655</v>
      </c>
      <c r="R183" s="0" t="n">
        <v>-1</v>
      </c>
      <c r="S183" s="0" t="n">
        <v>-1</v>
      </c>
      <c r="T183" s="0" t="n">
        <v>-1</v>
      </c>
      <c r="U183" s="0" t="n">
        <v>-1</v>
      </c>
      <c r="V183" s="0" t="s">
        <v>46</v>
      </c>
      <c r="W183" s="0" t="s">
        <v>46</v>
      </c>
      <c r="X183" s="0" t="s">
        <v>46</v>
      </c>
      <c r="Y183" s="0" t="s">
        <v>46</v>
      </c>
      <c r="Z183" s="0" t="s">
        <v>46</v>
      </c>
      <c r="AA183" s="0" t="s">
        <v>46</v>
      </c>
      <c r="AB183" s="0" t="s">
        <v>46</v>
      </c>
      <c r="AC183" s="0" t="s">
        <v>50</v>
      </c>
      <c r="AD183" s="0" t="s">
        <v>51</v>
      </c>
      <c r="AE183" s="0" t="s">
        <v>46</v>
      </c>
      <c r="AF183" s="0" t="s">
        <v>1227</v>
      </c>
      <c r="AG183" s="0" t="s">
        <v>1228</v>
      </c>
      <c r="AH183" s="0" t="s">
        <v>1229</v>
      </c>
      <c r="AI183" s="0" t="s">
        <v>46</v>
      </c>
      <c r="AJ183" s="0" t="s">
        <v>46</v>
      </c>
      <c r="AK183" s="0" t="s">
        <v>46</v>
      </c>
      <c r="AL183" s="0" t="s">
        <v>182</v>
      </c>
    </row>
    <row r="184" customFormat="false" ht="15" hidden="false" customHeight="false" outlineLevel="0" collapsed="false">
      <c r="B184" s="0" t="str">
        <f aca="false">HYPERLINK("https://genome.ucsc.edu/cgi-bin/hgTracks?db=hg19&amp;position=chr16%3A77317762%2D77317762", "chr16:77317762")</f>
        <v>chr16:77317762</v>
      </c>
      <c r="C184" s="0" t="s">
        <v>223</v>
      </c>
      <c r="D184" s="0" t="n">
        <v>77317762</v>
      </c>
      <c r="E184" s="0" t="n">
        <v>77317762</v>
      </c>
      <c r="F184" s="0" t="s">
        <v>39</v>
      </c>
      <c r="G184" s="0" t="s">
        <v>40</v>
      </c>
      <c r="H184" s="0" t="s">
        <v>1230</v>
      </c>
      <c r="I184" s="0" t="s">
        <v>391</v>
      </c>
      <c r="J184" s="0" t="s">
        <v>1231</v>
      </c>
      <c r="K184" s="0" t="s">
        <v>46</v>
      </c>
      <c r="L184" s="0" t="str">
        <f aca="false">HYPERLINK("https://www.ncbi.nlm.nih.gov/snp/rs143121569", "rs143121569")</f>
        <v>rs143121569</v>
      </c>
      <c r="M184" s="0" t="str">
        <f aca="false">HYPERLINK("https://www.genecards.org/Search/Keyword?queryString=%5Baliases%5D(%20ADAMTS18%20)&amp;keywords=ADAMTS18", "ADAMTS18")</f>
        <v>ADAMTS18</v>
      </c>
      <c r="N184" s="0" t="s">
        <v>208</v>
      </c>
      <c r="O184" s="0" t="s">
        <v>46</v>
      </c>
      <c r="P184" s="0" t="s">
        <v>1232</v>
      </c>
      <c r="Q184" s="0" t="n">
        <v>0.0086</v>
      </c>
      <c r="R184" s="0" t="n">
        <v>0.0074</v>
      </c>
      <c r="S184" s="0" t="n">
        <v>0.0054</v>
      </c>
      <c r="T184" s="0" t="n">
        <v>-1</v>
      </c>
      <c r="U184" s="0" t="n">
        <v>0.0053</v>
      </c>
      <c r="V184" s="0" t="s">
        <v>46</v>
      </c>
      <c r="W184" s="0" t="s">
        <v>46</v>
      </c>
      <c r="X184" s="0" t="s">
        <v>46</v>
      </c>
      <c r="Y184" s="0" t="s">
        <v>46</v>
      </c>
      <c r="Z184" s="0" t="s">
        <v>46</v>
      </c>
      <c r="AA184" s="0" t="s">
        <v>46</v>
      </c>
      <c r="AB184" s="0" t="s">
        <v>46</v>
      </c>
      <c r="AC184" s="0" t="s">
        <v>50</v>
      </c>
      <c r="AD184" s="0" t="s">
        <v>51</v>
      </c>
      <c r="AE184" s="0" t="s">
        <v>1233</v>
      </c>
      <c r="AF184" s="0" t="s">
        <v>1234</v>
      </c>
      <c r="AG184" s="0" t="s">
        <v>46</v>
      </c>
      <c r="AH184" s="0" t="s">
        <v>1235</v>
      </c>
      <c r="AI184" s="0" t="s">
        <v>46</v>
      </c>
      <c r="AJ184" s="0" t="s">
        <v>46</v>
      </c>
      <c r="AK184" s="0" t="s">
        <v>46</v>
      </c>
      <c r="AL184" s="0" t="s">
        <v>46</v>
      </c>
    </row>
    <row r="185" customFormat="false" ht="15" hidden="false" customHeight="false" outlineLevel="0" collapsed="false">
      <c r="B185" s="0" t="str">
        <f aca="false">HYPERLINK("https://genome.ucsc.edu/cgi-bin/hgTracks?db=hg19&amp;position=chr16%3A81118319%2D81118319", "chr16:81118319")</f>
        <v>chr16:81118319</v>
      </c>
      <c r="C185" s="0" t="s">
        <v>223</v>
      </c>
      <c r="D185" s="0" t="n">
        <v>81118319</v>
      </c>
      <c r="E185" s="0" t="n">
        <v>81118319</v>
      </c>
      <c r="F185" s="0" t="s">
        <v>82</v>
      </c>
      <c r="G185" s="0" t="s">
        <v>185</v>
      </c>
      <c r="H185" s="0" t="s">
        <v>1236</v>
      </c>
      <c r="I185" s="0" t="s">
        <v>661</v>
      </c>
      <c r="J185" s="0" t="s">
        <v>1237</v>
      </c>
      <c r="K185" s="0" t="s">
        <v>46</v>
      </c>
      <c r="L185" s="0" t="s">
        <v>46</v>
      </c>
      <c r="M185" s="0" t="str">
        <f aca="false">HYPERLINK("https://www.genecards.org/Search/Keyword?queryString=%5Baliases%5D(%20GCSH%20)&amp;keywords=GCSH", "GCSH")</f>
        <v>GCSH</v>
      </c>
      <c r="N185" s="0" t="s">
        <v>306</v>
      </c>
      <c r="O185" s="0" t="s">
        <v>46</v>
      </c>
      <c r="P185" s="0" t="s">
        <v>46</v>
      </c>
      <c r="Q185" s="0" t="n">
        <v>-1</v>
      </c>
      <c r="R185" s="0" t="n">
        <v>-1</v>
      </c>
      <c r="S185" s="0" t="n">
        <v>-1</v>
      </c>
      <c r="T185" s="0" t="n">
        <v>-1</v>
      </c>
      <c r="U185" s="0" t="n">
        <v>-1</v>
      </c>
      <c r="V185" s="0" t="s">
        <v>46</v>
      </c>
      <c r="W185" s="0" t="s">
        <v>46</v>
      </c>
      <c r="X185" s="0" t="s">
        <v>46</v>
      </c>
      <c r="Y185" s="0" t="s">
        <v>46</v>
      </c>
      <c r="Z185" s="0" t="s">
        <v>46</v>
      </c>
      <c r="AA185" s="0" t="s">
        <v>46</v>
      </c>
      <c r="AB185" s="0" t="s">
        <v>46</v>
      </c>
      <c r="AC185" s="0" t="s">
        <v>254</v>
      </c>
      <c r="AD185" s="0" t="s">
        <v>51</v>
      </c>
      <c r="AE185" s="0" t="s">
        <v>1238</v>
      </c>
      <c r="AF185" s="0" t="s">
        <v>1239</v>
      </c>
      <c r="AG185" s="0" t="s">
        <v>1240</v>
      </c>
      <c r="AH185" s="0" t="s">
        <v>1241</v>
      </c>
      <c r="AI185" s="0" t="s">
        <v>46</v>
      </c>
      <c r="AJ185" s="0" t="s">
        <v>46</v>
      </c>
      <c r="AK185" s="0" t="s">
        <v>46</v>
      </c>
      <c r="AL185" s="0" t="s">
        <v>46</v>
      </c>
    </row>
    <row r="186" customFormat="false" ht="15" hidden="false" customHeight="false" outlineLevel="0" collapsed="false">
      <c r="B186" s="0" t="str">
        <f aca="false">HYPERLINK("https://genome.ucsc.edu/cgi-bin/hgTracks?db=hg19&amp;position=chr16%3A83378320%2D83378320", "chr16:83378320")</f>
        <v>chr16:83378320</v>
      </c>
      <c r="C186" s="0" t="s">
        <v>223</v>
      </c>
      <c r="D186" s="0" t="n">
        <v>83378320</v>
      </c>
      <c r="E186" s="0" t="n">
        <v>83378320</v>
      </c>
      <c r="F186" s="0" t="s">
        <v>40</v>
      </c>
      <c r="G186" s="0" t="s">
        <v>57</v>
      </c>
      <c r="H186" s="0" t="s">
        <v>761</v>
      </c>
      <c r="I186" s="0" t="s">
        <v>656</v>
      </c>
      <c r="J186" s="0" t="s">
        <v>657</v>
      </c>
      <c r="K186" s="0" t="s">
        <v>46</v>
      </c>
      <c r="L186" s="0" t="s">
        <v>46</v>
      </c>
      <c r="M186" s="0" t="str">
        <f aca="false">HYPERLINK("https://www.genecards.org/Search/Keyword?queryString=%5Baliases%5D(%20CDH13%20)&amp;keywords=CDH13", "CDH13")</f>
        <v>CDH13</v>
      </c>
      <c r="N186" s="0" t="s">
        <v>45</v>
      </c>
      <c r="O186" s="0" t="s">
        <v>46</v>
      </c>
      <c r="P186" s="0" t="s">
        <v>46</v>
      </c>
      <c r="Q186" s="0" t="n">
        <v>-1</v>
      </c>
      <c r="R186" s="0" t="n">
        <v>-1</v>
      </c>
      <c r="S186" s="0" t="n">
        <v>-1</v>
      </c>
      <c r="T186" s="0" t="n">
        <v>-1</v>
      </c>
      <c r="U186" s="0" t="n">
        <v>-1</v>
      </c>
      <c r="V186" s="0" t="s">
        <v>46</v>
      </c>
      <c r="W186" s="0" t="s">
        <v>46</v>
      </c>
      <c r="X186" s="0" t="s">
        <v>354</v>
      </c>
      <c r="Y186" s="0" t="s">
        <v>48</v>
      </c>
      <c r="Z186" s="0" t="s">
        <v>46</v>
      </c>
      <c r="AA186" s="0" t="s">
        <v>46</v>
      </c>
      <c r="AB186" s="0" t="s">
        <v>46</v>
      </c>
      <c r="AC186" s="0" t="s">
        <v>50</v>
      </c>
      <c r="AD186" s="0" t="s">
        <v>51</v>
      </c>
      <c r="AE186" s="0" t="s">
        <v>1242</v>
      </c>
      <c r="AF186" s="0" t="s">
        <v>1243</v>
      </c>
      <c r="AG186" s="0" t="s">
        <v>1244</v>
      </c>
      <c r="AH186" s="0" t="s">
        <v>46</v>
      </c>
      <c r="AI186" s="0" t="s">
        <v>46</v>
      </c>
      <c r="AJ186" s="0" t="s">
        <v>46</v>
      </c>
      <c r="AK186" s="0" t="s">
        <v>46</v>
      </c>
      <c r="AL186" s="0" t="s">
        <v>46</v>
      </c>
    </row>
    <row r="187" customFormat="false" ht="15" hidden="false" customHeight="false" outlineLevel="0" collapsed="false">
      <c r="B187" s="0" t="str">
        <f aca="false">HYPERLINK("https://genome.ucsc.edu/cgi-bin/hgTracks?db=hg19&amp;position=chr16%3A88808088%2D88808088", "chr16:88808088")</f>
        <v>chr16:88808088</v>
      </c>
      <c r="C187" s="0" t="s">
        <v>223</v>
      </c>
      <c r="D187" s="0" t="n">
        <v>88808088</v>
      </c>
      <c r="E187" s="0" t="n">
        <v>88808088</v>
      </c>
      <c r="F187" s="0" t="s">
        <v>39</v>
      </c>
      <c r="G187" s="0" t="s">
        <v>185</v>
      </c>
      <c r="H187" s="0" t="s">
        <v>1245</v>
      </c>
      <c r="I187" s="0" t="s">
        <v>583</v>
      </c>
      <c r="J187" s="0" t="s">
        <v>584</v>
      </c>
      <c r="K187" s="0" t="s">
        <v>46</v>
      </c>
      <c r="L187" s="0" t="str">
        <f aca="false">HYPERLINK("https://www.ncbi.nlm.nih.gov/snp/rs200575401", "rs200575401")</f>
        <v>rs200575401</v>
      </c>
      <c r="M187" s="0" t="str">
        <f aca="false">HYPERLINK("https://www.genecards.org/Search/Keyword?queryString=%5Baliases%5D(%20PIEZO1%20)&amp;keywords=PIEZO1", "PIEZO1")</f>
        <v>PIEZO1</v>
      </c>
      <c r="N187" s="0" t="s">
        <v>704</v>
      </c>
      <c r="O187" s="0" t="s">
        <v>46</v>
      </c>
      <c r="P187" s="0" t="s">
        <v>46</v>
      </c>
      <c r="Q187" s="0" t="n">
        <v>0.011733</v>
      </c>
      <c r="R187" s="0" t="n">
        <v>0.0045</v>
      </c>
      <c r="S187" s="0" t="n">
        <v>0.0041</v>
      </c>
      <c r="T187" s="0" t="n">
        <v>-1</v>
      </c>
      <c r="U187" s="0" t="n">
        <v>0.0042</v>
      </c>
      <c r="V187" s="0" t="s">
        <v>46</v>
      </c>
      <c r="W187" s="0" t="s">
        <v>46</v>
      </c>
      <c r="X187" s="0" t="s">
        <v>46</v>
      </c>
      <c r="Y187" s="0" t="s">
        <v>46</v>
      </c>
      <c r="Z187" s="0" t="s">
        <v>46</v>
      </c>
      <c r="AA187" s="0" t="s">
        <v>46</v>
      </c>
      <c r="AB187" s="0" t="s">
        <v>46</v>
      </c>
      <c r="AC187" s="0" t="s">
        <v>50</v>
      </c>
      <c r="AD187" s="0" t="s">
        <v>147</v>
      </c>
      <c r="AE187" s="0" t="s">
        <v>1246</v>
      </c>
      <c r="AF187" s="0" t="s">
        <v>1247</v>
      </c>
      <c r="AG187" s="0" t="s">
        <v>1248</v>
      </c>
      <c r="AH187" s="0" t="s">
        <v>1249</v>
      </c>
      <c r="AI187" s="0" t="s">
        <v>46</v>
      </c>
      <c r="AJ187" s="0" t="s">
        <v>46</v>
      </c>
      <c r="AK187" s="0" t="s">
        <v>46</v>
      </c>
      <c r="AL187" s="0" t="s">
        <v>487</v>
      </c>
    </row>
    <row r="188" customFormat="false" ht="15" hidden="false" customHeight="false" outlineLevel="0" collapsed="false">
      <c r="B188" s="0" t="str">
        <f aca="false">HYPERLINK("https://genome.ucsc.edu/cgi-bin/hgTracks?db=hg19&amp;position=chr16%3A88808192%2D88808311", "chr16:88808192")</f>
        <v>chr16:88808192</v>
      </c>
      <c r="C188" s="0" t="s">
        <v>223</v>
      </c>
      <c r="D188" s="0" t="n">
        <v>88808192</v>
      </c>
      <c r="E188" s="0" t="n">
        <v>88808311</v>
      </c>
      <c r="F188" s="0" t="s">
        <v>1250</v>
      </c>
      <c r="G188" s="0" t="s">
        <v>185</v>
      </c>
      <c r="H188" s="0" t="s">
        <v>1251</v>
      </c>
      <c r="I188" s="0" t="s">
        <v>677</v>
      </c>
      <c r="J188" s="0" t="s">
        <v>1252</v>
      </c>
      <c r="K188" s="0" t="s">
        <v>46</v>
      </c>
      <c r="L188" s="0" t="s">
        <v>46</v>
      </c>
      <c r="M188" s="0" t="str">
        <f aca="false">HYPERLINK("https://www.genecards.org/Search/Keyword?queryString=%5Baliases%5D(%20PIEZO1%20)&amp;keywords=PIEZO1", "PIEZO1")</f>
        <v>PIEZO1</v>
      </c>
      <c r="N188" s="0" t="s">
        <v>306</v>
      </c>
      <c r="O188" s="0" t="s">
        <v>46</v>
      </c>
      <c r="P188" s="0" t="s">
        <v>46</v>
      </c>
      <c r="Q188" s="0" t="n">
        <v>0.0187</v>
      </c>
      <c r="R188" s="0" t="n">
        <v>0.0156</v>
      </c>
      <c r="S188" s="0" t="n">
        <v>0.0144</v>
      </c>
      <c r="T188" s="0" t="n">
        <v>-1</v>
      </c>
      <c r="U188" s="0" t="n">
        <v>0.0143</v>
      </c>
      <c r="V188" s="0" t="s">
        <v>46</v>
      </c>
      <c r="W188" s="0" t="s">
        <v>46</v>
      </c>
      <c r="X188" s="0" t="s">
        <v>46</v>
      </c>
      <c r="Y188" s="0" t="s">
        <v>46</v>
      </c>
      <c r="Z188" s="0" t="s">
        <v>46</v>
      </c>
      <c r="AA188" s="0" t="s">
        <v>46</v>
      </c>
      <c r="AB188" s="0" t="s">
        <v>46</v>
      </c>
      <c r="AC188" s="0" t="s">
        <v>219</v>
      </c>
      <c r="AD188" s="0" t="s">
        <v>147</v>
      </c>
      <c r="AE188" s="0" t="s">
        <v>1246</v>
      </c>
      <c r="AF188" s="0" t="s">
        <v>1247</v>
      </c>
      <c r="AG188" s="0" t="s">
        <v>1248</v>
      </c>
      <c r="AH188" s="0" t="s">
        <v>1249</v>
      </c>
      <c r="AI188" s="0" t="s">
        <v>571</v>
      </c>
      <c r="AJ188" s="0" t="s">
        <v>46</v>
      </c>
      <c r="AK188" s="0" t="s">
        <v>46</v>
      </c>
      <c r="AL188" s="0" t="s">
        <v>46</v>
      </c>
    </row>
    <row r="189" customFormat="false" ht="15" hidden="false" customHeight="false" outlineLevel="0" collapsed="false">
      <c r="B189" s="0" t="str">
        <f aca="false">HYPERLINK("https://genome.ucsc.edu/cgi-bin/hgTracks?db=hg19&amp;position=chr17%3A722639%2D722639", "chr17:722639")</f>
        <v>chr17:722639</v>
      </c>
      <c r="C189" s="0" t="s">
        <v>232</v>
      </c>
      <c r="D189" s="0" t="n">
        <v>722639</v>
      </c>
      <c r="E189" s="0" t="n">
        <v>722639</v>
      </c>
      <c r="F189" s="0" t="s">
        <v>82</v>
      </c>
      <c r="G189" s="0" t="s">
        <v>185</v>
      </c>
      <c r="H189" s="0" t="s">
        <v>1253</v>
      </c>
      <c r="I189" s="0" t="s">
        <v>1254</v>
      </c>
      <c r="J189" s="0" t="s">
        <v>1255</v>
      </c>
      <c r="K189" s="0" t="s">
        <v>46</v>
      </c>
      <c r="L189" s="0" t="str">
        <f aca="false">HYPERLINK("https://www.ncbi.nlm.nih.gov/snp/rs151322602", "rs151322602")</f>
        <v>rs151322602</v>
      </c>
      <c r="M189" s="0" t="str">
        <f aca="false">HYPERLINK("https://www.genecards.org/Search/Keyword?queryString=%5Baliases%5D(%20NXN%20)&amp;keywords=NXN", "NXN")</f>
        <v>NXN</v>
      </c>
      <c r="N189" s="0" t="s">
        <v>280</v>
      </c>
      <c r="O189" s="0" t="s">
        <v>262</v>
      </c>
      <c r="P189" s="0" t="s">
        <v>1256</v>
      </c>
      <c r="Q189" s="0" t="n">
        <v>0.0231</v>
      </c>
      <c r="R189" s="0" t="n">
        <v>0.0136</v>
      </c>
      <c r="S189" s="0" t="n">
        <v>0.0162</v>
      </c>
      <c r="T189" s="0" t="n">
        <v>-1</v>
      </c>
      <c r="U189" s="0" t="n">
        <v>0.0081</v>
      </c>
      <c r="V189" s="0" t="s">
        <v>46</v>
      </c>
      <c r="W189" s="0" t="s">
        <v>46</v>
      </c>
      <c r="X189" s="0" t="s">
        <v>46</v>
      </c>
      <c r="Y189" s="0" t="s">
        <v>46</v>
      </c>
      <c r="Z189" s="0" t="s">
        <v>46</v>
      </c>
      <c r="AA189" s="0" t="s">
        <v>46</v>
      </c>
      <c r="AB189" s="0" t="s">
        <v>46</v>
      </c>
      <c r="AC189" s="0" t="s">
        <v>50</v>
      </c>
      <c r="AD189" s="0" t="s">
        <v>51</v>
      </c>
      <c r="AE189" s="0" t="s">
        <v>1257</v>
      </c>
      <c r="AF189" s="0" t="s">
        <v>1258</v>
      </c>
      <c r="AG189" s="0" t="s">
        <v>1259</v>
      </c>
      <c r="AH189" s="0" t="s">
        <v>46</v>
      </c>
      <c r="AI189" s="0" t="s">
        <v>46</v>
      </c>
      <c r="AJ189" s="0" t="s">
        <v>46</v>
      </c>
      <c r="AK189" s="0" t="s">
        <v>46</v>
      </c>
      <c r="AL189" s="0" t="s">
        <v>46</v>
      </c>
    </row>
    <row r="190" customFormat="false" ht="15" hidden="false" customHeight="false" outlineLevel="0" collapsed="false">
      <c r="B190" s="0" t="str">
        <f aca="false">HYPERLINK("https://genome.ucsc.edu/cgi-bin/hgTracks?db=hg19&amp;position=chr17%3A4448868%2D4448868", "chr17:4448868")</f>
        <v>chr17:4448868</v>
      </c>
      <c r="C190" s="0" t="s">
        <v>232</v>
      </c>
      <c r="D190" s="0" t="n">
        <v>4448868</v>
      </c>
      <c r="E190" s="0" t="n">
        <v>4448868</v>
      </c>
      <c r="F190" s="0" t="s">
        <v>40</v>
      </c>
      <c r="G190" s="0" t="s">
        <v>82</v>
      </c>
      <c r="H190" s="0" t="s">
        <v>1260</v>
      </c>
      <c r="I190" s="0" t="s">
        <v>391</v>
      </c>
      <c r="J190" s="0" t="s">
        <v>1261</v>
      </c>
      <c r="K190" s="0" t="s">
        <v>46</v>
      </c>
      <c r="L190" s="0" t="str">
        <f aca="false">HYPERLINK("https://www.ncbi.nlm.nih.gov/snp/rs149496421", "rs149496421")</f>
        <v>rs149496421</v>
      </c>
      <c r="M190" s="0" t="str">
        <f aca="false">HYPERLINK("https://www.genecards.org/Search/Keyword?queryString=%5Baliases%5D(%20MYBBP1A%20)&amp;keywords=MYBBP1A", "MYBBP1A")</f>
        <v>MYBBP1A</v>
      </c>
      <c r="N190" s="0" t="s">
        <v>45</v>
      </c>
      <c r="O190" s="0" t="s">
        <v>46</v>
      </c>
      <c r="P190" s="0" t="s">
        <v>46</v>
      </c>
      <c r="Q190" s="0" t="n">
        <v>0.0149</v>
      </c>
      <c r="R190" s="0" t="n">
        <v>0.0127</v>
      </c>
      <c r="S190" s="0" t="n">
        <v>0.0141</v>
      </c>
      <c r="T190" s="0" t="n">
        <v>-1</v>
      </c>
      <c r="U190" s="0" t="n">
        <v>0.0104</v>
      </c>
      <c r="V190" s="0" t="s">
        <v>46</v>
      </c>
      <c r="W190" s="0" t="s">
        <v>46</v>
      </c>
      <c r="X190" s="0" t="s">
        <v>354</v>
      </c>
      <c r="Y190" s="0" t="s">
        <v>48</v>
      </c>
      <c r="Z190" s="0" t="s">
        <v>46</v>
      </c>
      <c r="AA190" s="0" t="s">
        <v>46</v>
      </c>
      <c r="AB190" s="0" t="s">
        <v>46</v>
      </c>
      <c r="AC190" s="0" t="s">
        <v>50</v>
      </c>
      <c r="AD190" s="0" t="s">
        <v>51</v>
      </c>
      <c r="AE190" s="0" t="s">
        <v>1262</v>
      </c>
      <c r="AF190" s="0" t="s">
        <v>1263</v>
      </c>
      <c r="AG190" s="0" t="s">
        <v>1264</v>
      </c>
      <c r="AH190" s="0" t="s">
        <v>46</v>
      </c>
      <c r="AI190" s="0" t="s">
        <v>46</v>
      </c>
      <c r="AJ190" s="0" t="s">
        <v>46</v>
      </c>
      <c r="AK190" s="0" t="s">
        <v>46</v>
      </c>
      <c r="AL190" s="0" t="s">
        <v>46</v>
      </c>
    </row>
    <row r="191" customFormat="false" ht="15" hidden="false" customHeight="false" outlineLevel="0" collapsed="false">
      <c r="B191" s="0" t="str">
        <f aca="false">HYPERLINK("https://genome.ucsc.edu/cgi-bin/hgTracks?db=hg19&amp;position=chr17%3A4644796%2D4644796", "chr17:4644796")</f>
        <v>chr17:4644796</v>
      </c>
      <c r="C191" s="0" t="s">
        <v>232</v>
      </c>
      <c r="D191" s="0" t="n">
        <v>4644796</v>
      </c>
      <c r="E191" s="0" t="n">
        <v>4644796</v>
      </c>
      <c r="F191" s="0" t="s">
        <v>57</v>
      </c>
      <c r="G191" s="0" t="s">
        <v>39</v>
      </c>
      <c r="H191" s="0" t="s">
        <v>1265</v>
      </c>
      <c r="I191" s="0" t="s">
        <v>352</v>
      </c>
      <c r="J191" s="0" t="s">
        <v>1266</v>
      </c>
      <c r="K191" s="0" t="s">
        <v>46</v>
      </c>
      <c r="L191" s="0" t="str">
        <f aca="false">HYPERLINK("https://www.ncbi.nlm.nih.gov/snp/rs189898402", "rs189898402")</f>
        <v>rs189898402</v>
      </c>
      <c r="M191" s="0" t="str">
        <f aca="false">HYPERLINK("https://www.genecards.org/Search/Keyword?queryString=%5Baliases%5D(%20ZMYND15%20)&amp;keywords=ZMYND15", "ZMYND15")</f>
        <v>ZMYND15</v>
      </c>
      <c r="N191" s="0" t="s">
        <v>45</v>
      </c>
      <c r="O191" s="0" t="s">
        <v>46</v>
      </c>
      <c r="P191" s="0" t="s">
        <v>46</v>
      </c>
      <c r="Q191" s="0" t="n">
        <v>0.0104</v>
      </c>
      <c r="R191" s="0" t="n">
        <v>0.0035</v>
      </c>
      <c r="S191" s="0" t="n">
        <v>0.0035</v>
      </c>
      <c r="T191" s="0" t="n">
        <v>-1</v>
      </c>
      <c r="U191" s="0" t="n">
        <v>0.0044</v>
      </c>
      <c r="V191" s="0" t="s">
        <v>46</v>
      </c>
      <c r="W191" s="0" t="s">
        <v>46</v>
      </c>
      <c r="X191" s="0" t="s">
        <v>354</v>
      </c>
      <c r="Y191" s="0" t="s">
        <v>48</v>
      </c>
      <c r="Z191" s="0" t="s">
        <v>46</v>
      </c>
      <c r="AA191" s="0" t="s">
        <v>46</v>
      </c>
      <c r="AB191" s="0" t="s">
        <v>46</v>
      </c>
      <c r="AC191" s="0" t="s">
        <v>50</v>
      </c>
      <c r="AD191" s="0" t="s">
        <v>51</v>
      </c>
      <c r="AE191" s="0" t="s">
        <v>1267</v>
      </c>
      <c r="AF191" s="0" t="s">
        <v>1268</v>
      </c>
      <c r="AG191" s="0" t="s">
        <v>1269</v>
      </c>
      <c r="AH191" s="0" t="s">
        <v>1270</v>
      </c>
      <c r="AI191" s="0" t="s">
        <v>46</v>
      </c>
      <c r="AJ191" s="0" t="s">
        <v>46</v>
      </c>
      <c r="AK191" s="0" t="s">
        <v>46</v>
      </c>
      <c r="AL191" s="0" t="s">
        <v>46</v>
      </c>
    </row>
    <row r="192" customFormat="false" ht="15" hidden="false" customHeight="false" outlineLevel="0" collapsed="false">
      <c r="B192" s="0" t="str">
        <f aca="false">HYPERLINK("https://genome.ucsc.edu/cgi-bin/hgTracks?db=hg19&amp;position=chr17%3A5036932%2D5036932", "chr17:5036932")</f>
        <v>chr17:5036932</v>
      </c>
      <c r="C192" s="0" t="s">
        <v>232</v>
      </c>
      <c r="D192" s="0" t="n">
        <v>5036932</v>
      </c>
      <c r="E192" s="0" t="n">
        <v>5036932</v>
      </c>
      <c r="F192" s="0" t="s">
        <v>39</v>
      </c>
      <c r="G192" s="0" t="s">
        <v>57</v>
      </c>
      <c r="H192" s="0" t="s">
        <v>1271</v>
      </c>
      <c r="I192" s="0" t="s">
        <v>1272</v>
      </c>
      <c r="J192" s="0" t="s">
        <v>1273</v>
      </c>
      <c r="K192" s="0" t="s">
        <v>46</v>
      </c>
      <c r="L192" s="0" t="s">
        <v>46</v>
      </c>
      <c r="M192" s="0" t="str">
        <f aca="false">HYPERLINK("https://www.genecards.org/Search/Keyword?queryString=%5Baliases%5D(%20USP6%20)&amp;keywords=USP6", "USP6")</f>
        <v>USP6</v>
      </c>
      <c r="N192" s="0" t="s">
        <v>45</v>
      </c>
      <c r="O192" s="0" t="s">
        <v>46</v>
      </c>
      <c r="P192" s="0" t="s">
        <v>46</v>
      </c>
      <c r="Q192" s="0" t="n">
        <v>0.0033</v>
      </c>
      <c r="R192" s="0" t="n">
        <v>0.0003</v>
      </c>
      <c r="S192" s="0" t="n">
        <v>0.0007</v>
      </c>
      <c r="T192" s="0" t="n">
        <v>-1</v>
      </c>
      <c r="U192" s="0" t="n">
        <v>0.0009</v>
      </c>
      <c r="V192" s="0" t="s">
        <v>46</v>
      </c>
      <c r="W192" s="0" t="s">
        <v>46</v>
      </c>
      <c r="X192" s="0" t="s">
        <v>47</v>
      </c>
      <c r="Y192" s="0" t="s">
        <v>48</v>
      </c>
      <c r="Z192" s="0" t="s">
        <v>46</v>
      </c>
      <c r="AA192" s="0" t="s">
        <v>46</v>
      </c>
      <c r="AB192" s="0" t="s">
        <v>46</v>
      </c>
      <c r="AC192" s="0" t="s">
        <v>50</v>
      </c>
      <c r="AD192" s="0" t="s">
        <v>51</v>
      </c>
      <c r="AE192" s="0" t="s">
        <v>1274</v>
      </c>
      <c r="AF192" s="0" t="s">
        <v>1275</v>
      </c>
      <c r="AG192" s="0" t="s">
        <v>1276</v>
      </c>
      <c r="AH192" s="0" t="s">
        <v>1277</v>
      </c>
      <c r="AI192" s="0" t="s">
        <v>46</v>
      </c>
      <c r="AJ192" s="0" t="s">
        <v>46</v>
      </c>
      <c r="AK192" s="0" t="s">
        <v>46</v>
      </c>
      <c r="AL192" s="0" t="s">
        <v>46</v>
      </c>
    </row>
    <row r="193" customFormat="false" ht="15" hidden="false" customHeight="false" outlineLevel="0" collapsed="false">
      <c r="B193" s="0" t="str">
        <f aca="false">HYPERLINK("https://genome.ucsc.edu/cgi-bin/hgTracks?db=hg19&amp;position=chr17%3A6909394%2D6909397", "chr17:6909394")</f>
        <v>chr17:6909394</v>
      </c>
      <c r="C193" s="0" t="s">
        <v>232</v>
      </c>
      <c r="D193" s="0" t="n">
        <v>6909394</v>
      </c>
      <c r="E193" s="0" t="n">
        <v>6909397</v>
      </c>
      <c r="F193" s="0" t="s">
        <v>1278</v>
      </c>
      <c r="G193" s="0" t="s">
        <v>185</v>
      </c>
      <c r="H193" s="0" t="s">
        <v>1279</v>
      </c>
      <c r="I193" s="0" t="s">
        <v>404</v>
      </c>
      <c r="J193" s="0" t="s">
        <v>1280</v>
      </c>
      <c r="K193" s="0" t="s">
        <v>46</v>
      </c>
      <c r="L193" s="0" t="s">
        <v>46</v>
      </c>
      <c r="M193" s="0" t="str">
        <f aca="false">HYPERLINK("https://www.genecards.org/Search/Keyword?queryString=%5Baliases%5D(%20ALOX12%20)%20OR%20%5Baliases%5D(%20ALOX12-AS1%20)%20OR%20%5Baliases%5D(%20LOC100506713%20)&amp;keywords=ALOX12,ALOX12-AS1,LOC100506713", "ALOX12;ALOX12-AS1;LOC100506713")</f>
        <v>ALOX12;ALOX12-AS1;LOC100506713</v>
      </c>
      <c r="N193" s="0" t="s">
        <v>306</v>
      </c>
      <c r="O193" s="0" t="s">
        <v>46</v>
      </c>
      <c r="P193" s="0" t="s">
        <v>46</v>
      </c>
      <c r="Q193" s="0" t="n">
        <v>0.02</v>
      </c>
      <c r="R193" s="0" t="n">
        <v>0.0032</v>
      </c>
      <c r="S193" s="0" t="n">
        <v>0.0021</v>
      </c>
      <c r="T193" s="0" t="n">
        <v>-1</v>
      </c>
      <c r="U193" s="0" t="n">
        <v>-1</v>
      </c>
      <c r="V193" s="0" t="s">
        <v>46</v>
      </c>
      <c r="W193" s="0" t="s">
        <v>46</v>
      </c>
      <c r="X193" s="0" t="s">
        <v>46</v>
      </c>
      <c r="Y193" s="0" t="s">
        <v>46</v>
      </c>
      <c r="Z193" s="0" t="s">
        <v>46</v>
      </c>
      <c r="AA193" s="0" t="s">
        <v>46</v>
      </c>
      <c r="AB193" s="0" t="s">
        <v>46</v>
      </c>
      <c r="AC193" s="0" t="s">
        <v>50</v>
      </c>
      <c r="AD193" s="0" t="s">
        <v>548</v>
      </c>
      <c r="AE193" s="0" t="s">
        <v>1281</v>
      </c>
      <c r="AF193" s="0" t="s">
        <v>1282</v>
      </c>
      <c r="AG193" s="0" t="s">
        <v>1283</v>
      </c>
      <c r="AH193" s="0" t="s">
        <v>1284</v>
      </c>
      <c r="AI193" s="0" t="s">
        <v>571</v>
      </c>
      <c r="AJ193" s="0" t="s">
        <v>46</v>
      </c>
      <c r="AK193" s="0" t="s">
        <v>46</v>
      </c>
      <c r="AL193" s="0" t="s">
        <v>46</v>
      </c>
    </row>
    <row r="194" customFormat="false" ht="15" hidden="false" customHeight="false" outlineLevel="0" collapsed="false">
      <c r="B194" s="0" t="str">
        <f aca="false">HYPERLINK("https://genome.ucsc.edu/cgi-bin/hgTracks?db=hg19&amp;position=chr17%3A37342442%2D37342442", "chr17:37342442")</f>
        <v>chr17:37342442</v>
      </c>
      <c r="C194" s="0" t="s">
        <v>232</v>
      </c>
      <c r="D194" s="0" t="n">
        <v>37342442</v>
      </c>
      <c r="E194" s="0" t="n">
        <v>37342442</v>
      </c>
      <c r="F194" s="0" t="s">
        <v>40</v>
      </c>
      <c r="G194" s="0" t="s">
        <v>82</v>
      </c>
      <c r="H194" s="0" t="s">
        <v>1285</v>
      </c>
      <c r="I194" s="0" t="s">
        <v>976</v>
      </c>
      <c r="J194" s="0" t="s">
        <v>1286</v>
      </c>
      <c r="K194" s="0" t="s">
        <v>46</v>
      </c>
      <c r="L194" s="0" t="str">
        <f aca="false">HYPERLINK("https://www.ncbi.nlm.nih.gov/snp/rs916474996", "rs916474996")</f>
        <v>rs916474996</v>
      </c>
      <c r="M194" s="0" t="str">
        <f aca="false">HYPERLINK("https://www.genecards.org/Search/Keyword?queryString=%5Baliases%5D(%20CACNB1%20)&amp;keywords=CACNB1", "CACNB1")</f>
        <v>CACNB1</v>
      </c>
      <c r="N194" s="0" t="s">
        <v>45</v>
      </c>
      <c r="O194" s="0" t="s">
        <v>46</v>
      </c>
      <c r="P194" s="0" t="s">
        <v>46</v>
      </c>
      <c r="Q194" s="0" t="n">
        <v>-1</v>
      </c>
      <c r="R194" s="0" t="n">
        <v>-1</v>
      </c>
      <c r="S194" s="0" t="n">
        <v>-1</v>
      </c>
      <c r="T194" s="0" t="n">
        <v>-1</v>
      </c>
      <c r="U194" s="0" t="n">
        <v>-1</v>
      </c>
      <c r="V194" s="0" t="s">
        <v>46</v>
      </c>
      <c r="W194" s="0" t="s">
        <v>46</v>
      </c>
      <c r="X194" s="0" t="s">
        <v>354</v>
      </c>
      <c r="Y194" s="0" t="s">
        <v>48</v>
      </c>
      <c r="Z194" s="0" t="s">
        <v>46</v>
      </c>
      <c r="AA194" s="0" t="s">
        <v>46</v>
      </c>
      <c r="AB194" s="0" t="s">
        <v>46</v>
      </c>
      <c r="AC194" s="0" t="s">
        <v>50</v>
      </c>
      <c r="AD194" s="0" t="s">
        <v>51</v>
      </c>
      <c r="AE194" s="0" t="s">
        <v>1287</v>
      </c>
      <c r="AF194" s="0" t="s">
        <v>1288</v>
      </c>
      <c r="AG194" s="0" t="s">
        <v>729</v>
      </c>
      <c r="AH194" s="0" t="s">
        <v>46</v>
      </c>
      <c r="AI194" s="0" t="s">
        <v>46</v>
      </c>
      <c r="AJ194" s="0" t="s">
        <v>46</v>
      </c>
      <c r="AK194" s="0" t="s">
        <v>46</v>
      </c>
      <c r="AL194" s="0" t="s">
        <v>46</v>
      </c>
    </row>
    <row r="195" customFormat="false" ht="15" hidden="false" customHeight="false" outlineLevel="0" collapsed="false">
      <c r="B195" s="0" t="str">
        <f aca="false">HYPERLINK("https://genome.ucsc.edu/cgi-bin/hgTracks?db=hg19&amp;position=chr17%3A41165650%2D41165651", "chr17:41165650")</f>
        <v>chr17:41165650</v>
      </c>
      <c r="C195" s="0" t="s">
        <v>232</v>
      </c>
      <c r="D195" s="0" t="n">
        <v>41165650</v>
      </c>
      <c r="E195" s="0" t="n">
        <v>41165651</v>
      </c>
      <c r="F195" s="0" t="s">
        <v>810</v>
      </c>
      <c r="G195" s="0" t="s">
        <v>185</v>
      </c>
      <c r="H195" s="0" t="s">
        <v>1289</v>
      </c>
      <c r="I195" s="0" t="s">
        <v>287</v>
      </c>
      <c r="J195" s="0" t="s">
        <v>1290</v>
      </c>
      <c r="K195" s="0" t="s">
        <v>46</v>
      </c>
      <c r="L195" s="0" t="str">
        <f aca="false">HYPERLINK("https://www.ncbi.nlm.nih.gov/snp/rs762859746", "rs762859746")</f>
        <v>rs762859746</v>
      </c>
      <c r="M195" s="0" t="str">
        <f aca="false">HYPERLINK("https://www.genecards.org/Search/Keyword?queryString=%5Baliases%5D(%20IFI35%20)&amp;keywords=IFI35", "IFI35")</f>
        <v>IFI35</v>
      </c>
      <c r="N195" s="0" t="s">
        <v>62</v>
      </c>
      <c r="O195" s="0" t="s">
        <v>262</v>
      </c>
      <c r="P195" s="0" t="s">
        <v>1291</v>
      </c>
      <c r="Q195" s="0" t="n">
        <v>0.0059</v>
      </c>
      <c r="R195" s="0" t="n">
        <v>0.008</v>
      </c>
      <c r="S195" s="0" t="n">
        <v>0.006</v>
      </c>
      <c r="T195" s="0" t="n">
        <v>-1</v>
      </c>
      <c r="U195" s="0" t="n">
        <v>0.0136</v>
      </c>
      <c r="V195" s="0" t="s">
        <v>46</v>
      </c>
      <c r="W195" s="0" t="s">
        <v>46</v>
      </c>
      <c r="X195" s="0" t="s">
        <v>46</v>
      </c>
      <c r="Y195" s="0" t="s">
        <v>46</v>
      </c>
      <c r="Z195" s="0" t="s">
        <v>46</v>
      </c>
      <c r="AA195" s="0" t="s">
        <v>46</v>
      </c>
      <c r="AB195" s="0" t="s">
        <v>46</v>
      </c>
      <c r="AC195" s="0" t="s">
        <v>50</v>
      </c>
      <c r="AD195" s="0" t="s">
        <v>51</v>
      </c>
      <c r="AE195" s="0" t="s">
        <v>1292</v>
      </c>
      <c r="AF195" s="0" t="s">
        <v>1293</v>
      </c>
      <c r="AG195" s="0" t="s">
        <v>1294</v>
      </c>
      <c r="AH195" s="0" t="s">
        <v>46</v>
      </c>
      <c r="AI195" s="0" t="s">
        <v>46</v>
      </c>
      <c r="AJ195" s="0" t="s">
        <v>46</v>
      </c>
      <c r="AK195" s="0" t="s">
        <v>46</v>
      </c>
      <c r="AL195" s="0" t="s">
        <v>46</v>
      </c>
    </row>
    <row r="196" customFormat="false" ht="15" hidden="false" customHeight="false" outlineLevel="0" collapsed="false">
      <c r="B196" s="0" t="str">
        <f aca="false">HYPERLINK("https://genome.ucsc.edu/cgi-bin/hgTracks?db=hg19&amp;position=chr17%3A42271880%2D42271880", "chr17:42271880")</f>
        <v>chr17:42271880</v>
      </c>
      <c r="C196" s="0" t="s">
        <v>232</v>
      </c>
      <c r="D196" s="0" t="n">
        <v>42271880</v>
      </c>
      <c r="E196" s="0" t="n">
        <v>42271880</v>
      </c>
      <c r="F196" s="0" t="s">
        <v>40</v>
      </c>
      <c r="G196" s="0" t="s">
        <v>82</v>
      </c>
      <c r="H196" s="0" t="s">
        <v>1295</v>
      </c>
      <c r="I196" s="0" t="s">
        <v>1296</v>
      </c>
      <c r="J196" s="0" t="s">
        <v>1297</v>
      </c>
      <c r="K196" s="0" t="s">
        <v>46</v>
      </c>
      <c r="L196" s="0" t="str">
        <f aca="false">HYPERLINK("https://www.ncbi.nlm.nih.gov/snp/rs200230454", "rs200230454")</f>
        <v>rs200230454</v>
      </c>
      <c r="M196" s="0" t="str">
        <f aca="false">HYPERLINK("https://www.genecards.org/Search/Keyword?queryString=%5Baliases%5D(%20ATXN7L3%20)&amp;keywords=ATXN7L3", "ATXN7L3")</f>
        <v>ATXN7L3</v>
      </c>
      <c r="N196" s="0" t="s">
        <v>45</v>
      </c>
      <c r="O196" s="0" t="s">
        <v>46</v>
      </c>
      <c r="P196" s="0" t="s">
        <v>46</v>
      </c>
      <c r="Q196" s="0" t="n">
        <v>0.0034</v>
      </c>
      <c r="R196" s="0" t="n">
        <v>0.001</v>
      </c>
      <c r="S196" s="0" t="n">
        <v>0.0009</v>
      </c>
      <c r="T196" s="0" t="n">
        <v>-1</v>
      </c>
      <c r="U196" s="0" t="n">
        <v>0.0012</v>
      </c>
      <c r="V196" s="0" t="s">
        <v>46</v>
      </c>
      <c r="W196" s="0" t="s">
        <v>47</v>
      </c>
      <c r="X196" s="0" t="s">
        <v>354</v>
      </c>
      <c r="Y196" s="0" t="s">
        <v>200</v>
      </c>
      <c r="Z196" s="0" t="s">
        <v>46</v>
      </c>
      <c r="AA196" s="0" t="s">
        <v>46</v>
      </c>
      <c r="AB196" s="0" t="s">
        <v>46</v>
      </c>
      <c r="AC196" s="0" t="s">
        <v>50</v>
      </c>
      <c r="AD196" s="0" t="s">
        <v>51</v>
      </c>
      <c r="AE196" s="0" t="s">
        <v>1298</v>
      </c>
      <c r="AF196" s="0" t="s">
        <v>1299</v>
      </c>
      <c r="AG196" s="0" t="s">
        <v>1300</v>
      </c>
      <c r="AH196" s="0" t="s">
        <v>46</v>
      </c>
      <c r="AI196" s="0" t="s">
        <v>46</v>
      </c>
      <c r="AJ196" s="0" t="s">
        <v>46</v>
      </c>
      <c r="AK196" s="0" t="s">
        <v>46</v>
      </c>
      <c r="AL196" s="0" t="s">
        <v>46</v>
      </c>
    </row>
    <row r="197" customFormat="false" ht="15" hidden="false" customHeight="false" outlineLevel="0" collapsed="false">
      <c r="B197" s="0" t="str">
        <f aca="false">HYPERLINK("https://genome.ucsc.edu/cgi-bin/hgTracks?db=hg19&amp;position=chr17%3A45668320%2D45668320", "chr17:45668320")</f>
        <v>chr17:45668320</v>
      </c>
      <c r="C197" s="0" t="s">
        <v>232</v>
      </c>
      <c r="D197" s="0" t="n">
        <v>45668320</v>
      </c>
      <c r="E197" s="0" t="n">
        <v>45668320</v>
      </c>
      <c r="F197" s="0" t="s">
        <v>57</v>
      </c>
      <c r="G197" s="0" t="s">
        <v>39</v>
      </c>
      <c r="H197" s="0" t="s">
        <v>891</v>
      </c>
      <c r="I197" s="0" t="s">
        <v>1301</v>
      </c>
      <c r="J197" s="0" t="s">
        <v>1302</v>
      </c>
      <c r="K197" s="0" t="s">
        <v>46</v>
      </c>
      <c r="L197" s="0" t="str">
        <f aca="false">HYPERLINK("https://www.ncbi.nlm.nih.gov/snp/rs747379252", "rs747379252")</f>
        <v>rs747379252</v>
      </c>
      <c r="M197" s="0" t="str">
        <f aca="false">HYPERLINK("https://www.genecards.org/Search/Keyword?queryString=%5Baliases%5D(%20NPEPPS%20)&amp;keywords=NPEPPS", "NPEPPS")</f>
        <v>NPEPPS</v>
      </c>
      <c r="N197" s="0" t="s">
        <v>45</v>
      </c>
      <c r="O197" s="0" t="s">
        <v>46</v>
      </c>
      <c r="P197" s="0" t="s">
        <v>46</v>
      </c>
      <c r="Q197" s="0" t="n">
        <v>0.014286</v>
      </c>
      <c r="R197" s="0" t="n">
        <v>9.058E-005</v>
      </c>
      <c r="S197" s="0" t="n">
        <v>7.363E-005</v>
      </c>
      <c r="T197" s="0" t="n">
        <v>-1</v>
      </c>
      <c r="U197" s="0" t="n">
        <v>0.0002</v>
      </c>
      <c r="V197" s="0" t="s">
        <v>46</v>
      </c>
      <c r="W197" s="0" t="s">
        <v>46</v>
      </c>
      <c r="X197" s="0" t="s">
        <v>47</v>
      </c>
      <c r="Y197" s="0" t="s">
        <v>48</v>
      </c>
      <c r="Z197" s="0" t="s">
        <v>46</v>
      </c>
      <c r="AA197" s="0" t="s">
        <v>46</v>
      </c>
      <c r="AB197" s="0" t="s">
        <v>46</v>
      </c>
      <c r="AC197" s="0" t="s">
        <v>50</v>
      </c>
      <c r="AD197" s="0" t="s">
        <v>51</v>
      </c>
      <c r="AE197" s="0" t="s">
        <v>1303</v>
      </c>
      <c r="AF197" s="0" t="s">
        <v>1304</v>
      </c>
      <c r="AG197" s="0" t="s">
        <v>1305</v>
      </c>
      <c r="AH197" s="0" t="s">
        <v>46</v>
      </c>
      <c r="AI197" s="0" t="s">
        <v>46</v>
      </c>
      <c r="AJ197" s="0" t="s">
        <v>1306</v>
      </c>
      <c r="AK197" s="0" t="s">
        <v>46</v>
      </c>
      <c r="AL197" s="0" t="s">
        <v>46</v>
      </c>
    </row>
    <row r="198" customFormat="false" ht="15" hidden="false" customHeight="false" outlineLevel="0" collapsed="false">
      <c r="B198" s="0" t="str">
        <f aca="false">HYPERLINK("https://genome.ucsc.edu/cgi-bin/hgTracks?db=hg19&amp;position=chr17%3A60685216%2D60685216", "chr17:60685216")</f>
        <v>chr17:60685216</v>
      </c>
      <c r="C198" s="0" t="s">
        <v>232</v>
      </c>
      <c r="D198" s="0" t="n">
        <v>60685216</v>
      </c>
      <c r="E198" s="0" t="n">
        <v>60685216</v>
      </c>
      <c r="F198" s="0" t="s">
        <v>57</v>
      </c>
      <c r="G198" s="0" t="s">
        <v>39</v>
      </c>
      <c r="H198" s="0" t="s">
        <v>1307</v>
      </c>
      <c r="I198" s="0" t="s">
        <v>560</v>
      </c>
      <c r="J198" s="0" t="s">
        <v>1308</v>
      </c>
      <c r="K198" s="0" t="s">
        <v>46</v>
      </c>
      <c r="L198" s="0" t="str">
        <f aca="false">HYPERLINK("https://www.ncbi.nlm.nih.gov/snp/rs12952022", "rs12952022")</f>
        <v>rs12952022</v>
      </c>
      <c r="M198" s="0" t="str">
        <f aca="false">HYPERLINK("https://www.genecards.org/Search/Keyword?queryString=%5Baliases%5D(%20TLK2%20)&amp;keywords=TLK2", "TLK2")</f>
        <v>TLK2</v>
      </c>
      <c r="N198" s="0" t="s">
        <v>45</v>
      </c>
      <c r="O198" s="0" t="s">
        <v>46</v>
      </c>
      <c r="P198" s="0" t="s">
        <v>46</v>
      </c>
      <c r="Q198" s="0" t="n">
        <v>0.0238</v>
      </c>
      <c r="R198" s="0" t="n">
        <v>0.0239</v>
      </c>
      <c r="S198" s="0" t="n">
        <v>0.0237</v>
      </c>
      <c r="T198" s="0" t="n">
        <v>-1</v>
      </c>
      <c r="U198" s="0" t="n">
        <v>0.0225</v>
      </c>
      <c r="V198" s="0" t="s">
        <v>46</v>
      </c>
      <c r="W198" s="0" t="s">
        <v>46</v>
      </c>
      <c r="X198" s="0" t="s">
        <v>354</v>
      </c>
      <c r="Y198" s="0" t="s">
        <v>48</v>
      </c>
      <c r="Z198" s="0" t="s">
        <v>46</v>
      </c>
      <c r="AA198" s="0" t="s">
        <v>46</v>
      </c>
      <c r="AB198" s="0" t="s">
        <v>46</v>
      </c>
      <c r="AC198" s="0" t="s">
        <v>50</v>
      </c>
      <c r="AD198" s="0" t="s">
        <v>51</v>
      </c>
      <c r="AE198" s="0" t="s">
        <v>1309</v>
      </c>
      <c r="AF198" s="0" t="s">
        <v>1310</v>
      </c>
      <c r="AG198" s="0" t="s">
        <v>1311</v>
      </c>
      <c r="AH198" s="0" t="s">
        <v>46</v>
      </c>
      <c r="AI198" s="0" t="s">
        <v>46</v>
      </c>
      <c r="AJ198" s="0" t="s">
        <v>46</v>
      </c>
      <c r="AK198" s="0" t="s">
        <v>46</v>
      </c>
      <c r="AL198" s="0" t="s">
        <v>46</v>
      </c>
    </row>
    <row r="199" customFormat="false" ht="15" hidden="false" customHeight="false" outlineLevel="0" collapsed="false">
      <c r="B199" s="0" t="str">
        <f aca="false">HYPERLINK("https://genome.ucsc.edu/cgi-bin/hgTracks?db=hg19&amp;position=chr17%3A73234010%2D73234010", "chr17:73234010")</f>
        <v>chr17:73234010</v>
      </c>
      <c r="C199" s="0" t="s">
        <v>232</v>
      </c>
      <c r="D199" s="0" t="n">
        <v>73234010</v>
      </c>
      <c r="E199" s="0" t="n">
        <v>73234010</v>
      </c>
      <c r="F199" s="0" t="s">
        <v>185</v>
      </c>
      <c r="G199" s="0" t="s">
        <v>1312</v>
      </c>
      <c r="H199" s="0" t="s">
        <v>1313</v>
      </c>
      <c r="I199" s="0" t="s">
        <v>442</v>
      </c>
      <c r="J199" s="0" t="s">
        <v>1314</v>
      </c>
      <c r="K199" s="0" t="s">
        <v>46</v>
      </c>
      <c r="L199" s="0" t="s">
        <v>46</v>
      </c>
      <c r="M199" s="0" t="str">
        <f aca="false">HYPERLINK("https://www.genecards.org/Search/Keyword?queryString=%5Baliases%5D(%20GGA3%20)&amp;keywords=GGA3", "GGA3")</f>
        <v>GGA3</v>
      </c>
      <c r="N199" s="0" t="s">
        <v>1315</v>
      </c>
      <c r="O199" s="0" t="s">
        <v>46</v>
      </c>
      <c r="P199" s="0" t="s">
        <v>1316</v>
      </c>
      <c r="Q199" s="0" t="n">
        <v>0.011526</v>
      </c>
      <c r="R199" s="0" t="n">
        <v>-1</v>
      </c>
      <c r="S199" s="0" t="n">
        <v>-1</v>
      </c>
      <c r="T199" s="0" t="n">
        <v>-1</v>
      </c>
      <c r="U199" s="0" t="n">
        <v>-1</v>
      </c>
      <c r="V199" s="0" t="s">
        <v>46</v>
      </c>
      <c r="W199" s="0" t="s">
        <v>46</v>
      </c>
      <c r="X199" s="0" t="s">
        <v>46</v>
      </c>
      <c r="Y199" s="0" t="s">
        <v>46</v>
      </c>
      <c r="Z199" s="0" t="s">
        <v>46</v>
      </c>
      <c r="AA199" s="0" t="s">
        <v>46</v>
      </c>
      <c r="AB199" s="0" t="s">
        <v>46</v>
      </c>
      <c r="AC199" s="0" t="s">
        <v>254</v>
      </c>
      <c r="AD199" s="0" t="s">
        <v>51</v>
      </c>
      <c r="AE199" s="0" t="s">
        <v>1317</v>
      </c>
      <c r="AF199" s="0" t="s">
        <v>1318</v>
      </c>
      <c r="AG199" s="0" t="s">
        <v>1319</v>
      </c>
      <c r="AH199" s="0" t="s">
        <v>46</v>
      </c>
      <c r="AI199" s="0" t="s">
        <v>46</v>
      </c>
      <c r="AJ199" s="0" t="s">
        <v>46</v>
      </c>
      <c r="AK199" s="0" t="s">
        <v>46</v>
      </c>
      <c r="AL199" s="0" t="s">
        <v>46</v>
      </c>
    </row>
    <row r="200" customFormat="false" ht="15" hidden="false" customHeight="false" outlineLevel="0" collapsed="false">
      <c r="B200" s="0" t="str">
        <f aca="false">HYPERLINK("https://genome.ucsc.edu/cgi-bin/hgTracks?db=hg19&amp;position=chr17%3A74098109%2D74098109", "chr17:74098109")</f>
        <v>chr17:74098109</v>
      </c>
      <c r="C200" s="0" t="s">
        <v>232</v>
      </c>
      <c r="D200" s="0" t="n">
        <v>74098109</v>
      </c>
      <c r="E200" s="0" t="n">
        <v>74098109</v>
      </c>
      <c r="F200" s="0" t="s">
        <v>82</v>
      </c>
      <c r="G200" s="0" t="s">
        <v>40</v>
      </c>
      <c r="H200" s="0" t="s">
        <v>1320</v>
      </c>
      <c r="I200" s="0" t="s">
        <v>725</v>
      </c>
      <c r="J200" s="0" t="s">
        <v>1321</v>
      </c>
      <c r="K200" s="0" t="s">
        <v>46</v>
      </c>
      <c r="L200" s="0" t="str">
        <f aca="false">HYPERLINK("https://www.ncbi.nlm.nih.gov/snp/rs79555714", "rs79555714")</f>
        <v>rs79555714</v>
      </c>
      <c r="M200" s="0" t="str">
        <f aca="false">HYPERLINK("https://www.genecards.org/Search/Keyword?queryString=%5Baliases%5D(%20EXOC7%20)&amp;keywords=EXOC7", "EXOC7")</f>
        <v>EXOC7</v>
      </c>
      <c r="N200" s="0" t="s">
        <v>45</v>
      </c>
      <c r="O200" s="0" t="s">
        <v>46</v>
      </c>
      <c r="P200" s="0" t="s">
        <v>46</v>
      </c>
      <c r="Q200" s="0" t="n">
        <v>0.0127</v>
      </c>
      <c r="R200" s="0" t="n">
        <v>0.0067</v>
      </c>
      <c r="S200" s="0" t="n">
        <v>0.0054</v>
      </c>
      <c r="T200" s="0" t="n">
        <v>-1</v>
      </c>
      <c r="U200" s="0" t="n">
        <v>0.0076</v>
      </c>
      <c r="V200" s="0" t="s">
        <v>46</v>
      </c>
      <c r="W200" s="0" t="s">
        <v>46</v>
      </c>
      <c r="X200" s="0" t="s">
        <v>47</v>
      </c>
      <c r="Y200" s="0" t="s">
        <v>48</v>
      </c>
      <c r="Z200" s="0" t="s">
        <v>46</v>
      </c>
      <c r="AA200" s="0" t="s">
        <v>46</v>
      </c>
      <c r="AB200" s="0" t="s">
        <v>46</v>
      </c>
      <c r="AC200" s="0" t="s">
        <v>50</v>
      </c>
      <c r="AD200" s="0" t="s">
        <v>51</v>
      </c>
      <c r="AE200" s="0" t="s">
        <v>1322</v>
      </c>
      <c r="AF200" s="0" t="s">
        <v>1323</v>
      </c>
      <c r="AG200" s="0" t="s">
        <v>1324</v>
      </c>
      <c r="AH200" s="0" t="s">
        <v>46</v>
      </c>
      <c r="AI200" s="0" t="s">
        <v>46</v>
      </c>
      <c r="AJ200" s="0" t="s">
        <v>46</v>
      </c>
      <c r="AK200" s="0" t="s">
        <v>46</v>
      </c>
      <c r="AL200" s="0" t="s">
        <v>46</v>
      </c>
    </row>
    <row r="201" s="2" customFormat="true" ht="15" hidden="false" customHeight="false" outlineLevel="0" collapsed="false">
      <c r="B201" s="2" t="str">
        <f aca="false">HYPERLINK("https://genome.ucsc.edu/cgi-bin/hgTracks?db=hg19&amp;position=chr17%3A78334094%2D78334094", "chr17:78334094")</f>
        <v>chr17:78334094</v>
      </c>
      <c r="C201" s="2" t="s">
        <v>232</v>
      </c>
      <c r="D201" s="2" t="n">
        <v>78334094</v>
      </c>
      <c r="E201" s="2" t="n">
        <v>78334094</v>
      </c>
      <c r="F201" s="2" t="s">
        <v>82</v>
      </c>
      <c r="G201" s="2" t="s">
        <v>40</v>
      </c>
      <c r="H201" s="2" t="s">
        <v>1325</v>
      </c>
      <c r="I201" s="2" t="s">
        <v>1326</v>
      </c>
      <c r="J201" s="2" t="s">
        <v>1327</v>
      </c>
      <c r="K201" s="2" t="s">
        <v>46</v>
      </c>
      <c r="L201" s="2" t="s">
        <v>46</v>
      </c>
      <c r="M201" s="2" t="str">
        <f aca="false">HYPERLINK("https://www.genecards.org/Search/Keyword?queryString=%5Baliases%5D(%20LOC100294362%20)%20OR%20%5Baliases%5D(%20RNF213%20)%20OR%20%5Baliases%5D(%20RNF213-AS1%20)&amp;keywords=LOC100294362,RNF213,RNF213-AS1", "LOC100294362;RNF213;RNF213-AS1")</f>
        <v>LOC100294362;RNF213;RNF213-AS1</v>
      </c>
      <c r="N201" s="2" t="s">
        <v>306</v>
      </c>
      <c r="O201" s="2" t="s">
        <v>46</v>
      </c>
      <c r="P201" s="2" t="s">
        <v>46</v>
      </c>
      <c r="Q201" s="2" t="n">
        <v>0.0058</v>
      </c>
      <c r="R201" s="2" t="n">
        <v>0.0005</v>
      </c>
      <c r="S201" s="2" t="n">
        <v>0.0004</v>
      </c>
      <c r="T201" s="2" t="n">
        <v>-1</v>
      </c>
      <c r="U201" s="2" t="n">
        <v>0.0009</v>
      </c>
      <c r="V201" s="2" t="s">
        <v>46</v>
      </c>
      <c r="W201" s="2" t="s">
        <v>46</v>
      </c>
      <c r="X201" s="2" t="s">
        <v>307</v>
      </c>
      <c r="Y201" s="2" t="s">
        <v>48</v>
      </c>
      <c r="Z201" s="2" t="s">
        <v>46</v>
      </c>
      <c r="AA201" s="2" t="s">
        <v>46</v>
      </c>
      <c r="AB201" s="2" t="s">
        <v>46</v>
      </c>
      <c r="AC201" s="2" t="s">
        <v>50</v>
      </c>
      <c r="AD201" s="2" t="s">
        <v>1328</v>
      </c>
      <c r="AE201" s="2" t="s">
        <v>1329</v>
      </c>
      <c r="AF201" s="2" t="s">
        <v>1330</v>
      </c>
      <c r="AG201" s="2" t="s">
        <v>1331</v>
      </c>
      <c r="AH201" s="2" t="s">
        <v>1332</v>
      </c>
      <c r="AI201" s="2" t="s">
        <v>46</v>
      </c>
      <c r="AJ201" s="2" t="s">
        <v>46</v>
      </c>
      <c r="AK201" s="2" t="s">
        <v>46</v>
      </c>
      <c r="AL201" s="2" t="s">
        <v>46</v>
      </c>
    </row>
    <row r="202" s="2" customFormat="true" ht="15" hidden="false" customHeight="false" outlineLevel="0" collapsed="false">
      <c r="B202" s="2" t="str">
        <f aca="false">HYPERLINK("https://genome.ucsc.edu/cgi-bin/hgTracks?db=hg19&amp;position=chr17%3A78337736%2D78337736", "chr17:78337736")</f>
        <v>chr17:78337736</v>
      </c>
      <c r="C202" s="2" t="s">
        <v>232</v>
      </c>
      <c r="D202" s="2" t="n">
        <v>78337736</v>
      </c>
      <c r="E202" s="2" t="n">
        <v>78337736</v>
      </c>
      <c r="F202" s="2" t="s">
        <v>40</v>
      </c>
      <c r="G202" s="2" t="s">
        <v>82</v>
      </c>
      <c r="H202" s="2" t="s">
        <v>1333</v>
      </c>
      <c r="I202" s="2" t="s">
        <v>621</v>
      </c>
      <c r="J202" s="2" t="s">
        <v>1334</v>
      </c>
      <c r="K202" s="2" t="s">
        <v>46</v>
      </c>
      <c r="L202" s="2" t="str">
        <f aca="false">HYPERLINK("https://www.ncbi.nlm.nih.gov/snp/rs117337485", "rs117337485")</f>
        <v>rs117337485</v>
      </c>
      <c r="M202" s="2" t="str">
        <f aca="false">HYPERLINK("https://www.genecards.org/Search/Keyword?queryString=%5Baliases%5D(%20LOC100294362%20)%20OR%20%5Baliases%5D(%20RNF213%20)%20OR%20%5Baliases%5D(%20RNF213-AS1%20)&amp;keywords=LOC100294362,RNF213,RNF213-AS1", "LOC100294362;RNF213;RNF213-AS1")</f>
        <v>LOC100294362;RNF213;RNF213-AS1</v>
      </c>
      <c r="N202" s="2" t="s">
        <v>306</v>
      </c>
      <c r="O202" s="2" t="s">
        <v>46</v>
      </c>
      <c r="P202" s="2" t="s">
        <v>46</v>
      </c>
      <c r="Q202" s="2" t="n">
        <v>0.0207</v>
      </c>
      <c r="R202" s="2" t="n">
        <v>0.0198</v>
      </c>
      <c r="S202" s="2" t="n">
        <v>0.0217</v>
      </c>
      <c r="T202" s="2" t="n">
        <v>-1</v>
      </c>
      <c r="U202" s="2" t="n">
        <v>0.0325</v>
      </c>
      <c r="V202" s="2" t="s">
        <v>46</v>
      </c>
      <c r="W202" s="2" t="s">
        <v>46</v>
      </c>
      <c r="X202" s="2" t="s">
        <v>307</v>
      </c>
      <c r="Y202" s="2" t="s">
        <v>48</v>
      </c>
      <c r="Z202" s="2" t="s">
        <v>46</v>
      </c>
      <c r="AA202" s="2" t="s">
        <v>46</v>
      </c>
      <c r="AB202" s="2" t="s">
        <v>46</v>
      </c>
      <c r="AC202" s="2" t="s">
        <v>50</v>
      </c>
      <c r="AD202" s="2" t="s">
        <v>1328</v>
      </c>
      <c r="AE202" s="2" t="s">
        <v>1329</v>
      </c>
      <c r="AF202" s="2" t="s">
        <v>1330</v>
      </c>
      <c r="AG202" s="2" t="s">
        <v>1331</v>
      </c>
      <c r="AH202" s="2" t="s">
        <v>1332</v>
      </c>
      <c r="AI202" s="2" t="s">
        <v>46</v>
      </c>
      <c r="AJ202" s="2" t="s">
        <v>46</v>
      </c>
      <c r="AK202" s="2" t="s">
        <v>46</v>
      </c>
      <c r="AL202" s="2" t="s">
        <v>46</v>
      </c>
    </row>
    <row r="203" s="2" customFormat="true" ht="15" hidden="false" customHeight="false" outlineLevel="0" collapsed="false">
      <c r="B203" s="2" t="str">
        <f aca="false">HYPERLINK("https://genome.ucsc.edu/cgi-bin/hgTracks?db=hg19&amp;position=chr17%3A78347062%2D78347062", "chr17:78347062")</f>
        <v>chr17:78347062</v>
      </c>
      <c r="C203" s="2" t="s">
        <v>232</v>
      </c>
      <c r="D203" s="2" t="n">
        <v>78347062</v>
      </c>
      <c r="E203" s="2" t="n">
        <v>78347062</v>
      </c>
      <c r="F203" s="2" t="s">
        <v>40</v>
      </c>
      <c r="G203" s="2" t="s">
        <v>82</v>
      </c>
      <c r="H203" s="2" t="s">
        <v>1335</v>
      </c>
      <c r="I203" s="2" t="s">
        <v>541</v>
      </c>
      <c r="J203" s="2" t="s">
        <v>1336</v>
      </c>
      <c r="K203" s="2" t="s">
        <v>46</v>
      </c>
      <c r="L203" s="2" t="s">
        <v>46</v>
      </c>
      <c r="M203" s="2" t="str">
        <f aca="false">HYPERLINK("https://www.genecards.org/Search/Keyword?queryString=%5Baliases%5D(%20LOC100294362%20)%20OR%20%5Baliases%5D(%20RNF213%20)%20OR%20%5Baliases%5D(%20RNF213-AS1%20)&amp;keywords=LOC100294362,RNF213,RNF213-AS1", "LOC100294362;RNF213;RNF213-AS1")</f>
        <v>LOC100294362;RNF213;RNF213-AS1</v>
      </c>
      <c r="N203" s="2" t="s">
        <v>306</v>
      </c>
      <c r="O203" s="2" t="s">
        <v>46</v>
      </c>
      <c r="P203" s="2" t="s">
        <v>46</v>
      </c>
      <c r="Q203" s="2" t="n">
        <v>0.0014</v>
      </c>
      <c r="R203" s="2" t="n">
        <v>0.0015</v>
      </c>
      <c r="S203" s="2" t="n">
        <v>0.0021</v>
      </c>
      <c r="T203" s="2" t="n">
        <v>-1</v>
      </c>
      <c r="U203" s="2" t="n">
        <v>0.0044</v>
      </c>
      <c r="V203" s="2" t="s">
        <v>46</v>
      </c>
      <c r="W203" s="2" t="s">
        <v>46</v>
      </c>
      <c r="X203" s="2" t="s">
        <v>307</v>
      </c>
      <c r="Y203" s="2" t="s">
        <v>48</v>
      </c>
      <c r="Z203" s="2" t="s">
        <v>46</v>
      </c>
      <c r="AA203" s="2" t="s">
        <v>46</v>
      </c>
      <c r="AB203" s="2" t="s">
        <v>46</v>
      </c>
      <c r="AC203" s="2" t="s">
        <v>50</v>
      </c>
      <c r="AD203" s="2" t="s">
        <v>1328</v>
      </c>
      <c r="AE203" s="2" t="s">
        <v>1329</v>
      </c>
      <c r="AF203" s="2" t="s">
        <v>1330</v>
      </c>
      <c r="AG203" s="2" t="s">
        <v>1331</v>
      </c>
      <c r="AH203" s="2" t="s">
        <v>1332</v>
      </c>
      <c r="AI203" s="2" t="s">
        <v>571</v>
      </c>
      <c r="AJ203" s="2" t="s">
        <v>46</v>
      </c>
      <c r="AK203" s="2" t="s">
        <v>46</v>
      </c>
      <c r="AL203" s="2" t="s">
        <v>46</v>
      </c>
    </row>
    <row r="204" s="2" customFormat="true" ht="15" hidden="false" customHeight="false" outlineLevel="0" collapsed="false">
      <c r="B204" s="2" t="str">
        <f aca="false">HYPERLINK("https://genome.ucsc.edu/cgi-bin/hgTracks?db=hg19&amp;position=chr17%3A78362324%2D78362324", "chr17:78362324")</f>
        <v>chr17:78362324</v>
      </c>
      <c r="C204" s="2" t="s">
        <v>232</v>
      </c>
      <c r="D204" s="2" t="n">
        <v>78362324</v>
      </c>
      <c r="E204" s="2" t="n">
        <v>78362324</v>
      </c>
      <c r="F204" s="2" t="s">
        <v>185</v>
      </c>
      <c r="G204" s="2" t="s">
        <v>82</v>
      </c>
      <c r="H204" s="2" t="s">
        <v>1337</v>
      </c>
      <c r="I204" s="2" t="s">
        <v>98</v>
      </c>
      <c r="J204" s="2" t="s">
        <v>1338</v>
      </c>
      <c r="K204" s="2" t="s">
        <v>46</v>
      </c>
      <c r="L204" s="2" t="str">
        <f aca="false">HYPERLINK("https://www.ncbi.nlm.nih.gov/snp/rs753203087", "rs753203087")</f>
        <v>rs753203087</v>
      </c>
      <c r="M204" s="2" t="str">
        <f aca="false">HYPERLINK("https://www.genecards.org/Search/Keyword?queryString=%5Baliases%5D(%20LOC100294362%20)%20OR%20%5Baliases%5D(%20RNF213%20)%20OR%20%5Baliases%5D(%20RNF213-AS1%20)&amp;keywords=LOC100294362,RNF213,RNF213-AS1", "LOC100294362;RNF213;RNF213-AS1")</f>
        <v>LOC100294362;RNF213;RNF213-AS1</v>
      </c>
      <c r="N204" s="2" t="s">
        <v>306</v>
      </c>
      <c r="O204" s="2" t="s">
        <v>46</v>
      </c>
      <c r="P204" s="2" t="s">
        <v>46</v>
      </c>
      <c r="Q204" s="2" t="n">
        <v>0.0012</v>
      </c>
      <c r="R204" s="2" t="n">
        <v>0.0012</v>
      </c>
      <c r="S204" s="2" t="n">
        <v>0.0018</v>
      </c>
      <c r="T204" s="2" t="n">
        <v>-1</v>
      </c>
      <c r="U204" s="2" t="n">
        <v>0.0041</v>
      </c>
      <c r="V204" s="2" t="s">
        <v>46</v>
      </c>
      <c r="W204" s="2" t="s">
        <v>46</v>
      </c>
      <c r="X204" s="2" t="s">
        <v>46</v>
      </c>
      <c r="Y204" s="2" t="s">
        <v>46</v>
      </c>
      <c r="Z204" s="2" t="s">
        <v>46</v>
      </c>
      <c r="AA204" s="2" t="s">
        <v>46</v>
      </c>
      <c r="AB204" s="2" t="s">
        <v>46</v>
      </c>
      <c r="AC204" s="2" t="s">
        <v>50</v>
      </c>
      <c r="AD204" s="2" t="s">
        <v>1328</v>
      </c>
      <c r="AE204" s="2" t="s">
        <v>1329</v>
      </c>
      <c r="AF204" s="2" t="s">
        <v>1330</v>
      </c>
      <c r="AG204" s="2" t="s">
        <v>1331</v>
      </c>
      <c r="AH204" s="2" t="s">
        <v>1332</v>
      </c>
      <c r="AI204" s="2" t="s">
        <v>46</v>
      </c>
      <c r="AJ204" s="2" t="s">
        <v>46</v>
      </c>
      <c r="AK204" s="2" t="s">
        <v>46</v>
      </c>
      <c r="AL204" s="2" t="s">
        <v>46</v>
      </c>
    </row>
    <row r="205" s="5" customFormat="true" ht="15" hidden="false" customHeight="false" outlineLevel="0" collapsed="false">
      <c r="B205" s="5" t="str">
        <f aca="false">HYPERLINK("https://genome.ucsc.edu/cgi-bin/hgTracks?db=hg19&amp;position=chr18%3A2951448%2D2951450", "chr18:2951448")</f>
        <v>chr18:2951448</v>
      </c>
      <c r="C205" s="5" t="s">
        <v>1339</v>
      </c>
      <c r="D205" s="5" t="n">
        <v>2951448</v>
      </c>
      <c r="E205" s="5" t="n">
        <v>2951450</v>
      </c>
      <c r="F205" s="5" t="s">
        <v>1340</v>
      </c>
      <c r="G205" s="5" t="s">
        <v>185</v>
      </c>
      <c r="H205" s="5" t="s">
        <v>1341</v>
      </c>
      <c r="I205" s="5" t="s">
        <v>164</v>
      </c>
      <c r="J205" s="5" t="s">
        <v>1342</v>
      </c>
      <c r="K205" s="5" t="s">
        <v>46</v>
      </c>
      <c r="L205" s="5" t="str">
        <f aca="false">HYPERLINK("https://www.ncbi.nlm.nih.gov/snp/rs553199051", "rs553199051")</f>
        <v>rs553199051</v>
      </c>
      <c r="M205" s="5" t="str">
        <f aca="false">HYPERLINK("https://www.genecards.org/Search/Keyword?queryString=%5Baliases%5D(%20LPIN2%20)&amp;keywords=LPIN2", "LPIN2")</f>
        <v>LPIN2</v>
      </c>
      <c r="N205" s="5" t="s">
        <v>306</v>
      </c>
      <c r="O205" s="5" t="s">
        <v>46</v>
      </c>
      <c r="P205" s="5" t="s">
        <v>46</v>
      </c>
      <c r="Q205" s="5" t="n">
        <v>0.0205</v>
      </c>
      <c r="R205" s="5" t="n">
        <v>0.0156</v>
      </c>
      <c r="S205" s="5" t="n">
        <v>0.0079</v>
      </c>
      <c r="T205" s="5" t="n">
        <v>-1</v>
      </c>
      <c r="U205" s="5" t="n">
        <v>0.0153</v>
      </c>
      <c r="V205" s="5" t="s">
        <v>46</v>
      </c>
      <c r="W205" s="5" t="s">
        <v>46</v>
      </c>
      <c r="X205" s="5" t="s">
        <v>46</v>
      </c>
      <c r="Y205" s="5" t="s">
        <v>46</v>
      </c>
      <c r="Z205" s="5" t="s">
        <v>46</v>
      </c>
      <c r="AA205" s="5" t="s">
        <v>46</v>
      </c>
      <c r="AB205" s="5" t="s">
        <v>46</v>
      </c>
      <c r="AC205" s="5" t="s">
        <v>254</v>
      </c>
      <c r="AD205" s="5" t="s">
        <v>385</v>
      </c>
      <c r="AE205" s="5" t="s">
        <v>1343</v>
      </c>
      <c r="AF205" s="5" t="s">
        <v>1344</v>
      </c>
      <c r="AG205" s="5" t="s">
        <v>1345</v>
      </c>
      <c r="AH205" s="5" t="s">
        <v>1346</v>
      </c>
      <c r="AI205" s="5" t="s">
        <v>46</v>
      </c>
      <c r="AJ205" s="5" t="s">
        <v>46</v>
      </c>
      <c r="AK205" s="5" t="s">
        <v>46</v>
      </c>
      <c r="AL205" s="5" t="s">
        <v>46</v>
      </c>
    </row>
    <row r="206" s="5" customFormat="true" ht="15" hidden="false" customHeight="false" outlineLevel="0" collapsed="false">
      <c r="B206" s="5" t="str">
        <f aca="false">HYPERLINK("https://genome.ucsc.edu/cgi-bin/hgTracks?db=hg19&amp;position=chr18%3A2951449%2D2951450", "chr18:2951449")</f>
        <v>chr18:2951449</v>
      </c>
      <c r="C206" s="5" t="s">
        <v>1339</v>
      </c>
      <c r="D206" s="5" t="n">
        <v>2951449</v>
      </c>
      <c r="E206" s="5" t="n">
        <v>2951450</v>
      </c>
      <c r="F206" s="5" t="s">
        <v>249</v>
      </c>
      <c r="G206" s="5" t="s">
        <v>185</v>
      </c>
      <c r="H206" s="5" t="s">
        <v>1341</v>
      </c>
      <c r="I206" s="5" t="s">
        <v>164</v>
      </c>
      <c r="J206" s="5" t="s">
        <v>1342</v>
      </c>
      <c r="K206" s="5" t="s">
        <v>46</v>
      </c>
      <c r="L206" s="5" t="s">
        <v>46</v>
      </c>
      <c r="M206" s="5" t="str">
        <f aca="false">HYPERLINK("https://www.genecards.org/Search/Keyword?queryString=%5Baliases%5D(%20LPIN2%20)&amp;keywords=LPIN2", "LPIN2")</f>
        <v>LPIN2</v>
      </c>
      <c r="N206" s="5" t="s">
        <v>306</v>
      </c>
      <c r="O206" s="5" t="s">
        <v>46</v>
      </c>
      <c r="P206" s="5" t="s">
        <v>46</v>
      </c>
      <c r="Q206" s="5" t="n">
        <v>-1</v>
      </c>
      <c r="R206" s="5" t="n">
        <v>-1</v>
      </c>
      <c r="S206" s="5" t="n">
        <v>-1</v>
      </c>
      <c r="T206" s="5" t="n">
        <v>-1</v>
      </c>
      <c r="U206" s="5" t="n">
        <v>-1</v>
      </c>
      <c r="V206" s="5" t="s">
        <v>46</v>
      </c>
      <c r="W206" s="5" t="s">
        <v>46</v>
      </c>
      <c r="X206" s="5" t="s">
        <v>46</v>
      </c>
      <c r="Y206" s="5" t="s">
        <v>46</v>
      </c>
      <c r="Z206" s="5" t="s">
        <v>46</v>
      </c>
      <c r="AA206" s="5" t="s">
        <v>46</v>
      </c>
      <c r="AB206" s="5" t="s">
        <v>46</v>
      </c>
      <c r="AC206" s="5" t="s">
        <v>254</v>
      </c>
      <c r="AD206" s="5" t="s">
        <v>385</v>
      </c>
      <c r="AE206" s="5" t="s">
        <v>1343</v>
      </c>
      <c r="AF206" s="5" t="s">
        <v>1344</v>
      </c>
      <c r="AG206" s="5" t="s">
        <v>1345</v>
      </c>
      <c r="AH206" s="5" t="s">
        <v>1346</v>
      </c>
      <c r="AI206" s="5" t="s">
        <v>46</v>
      </c>
      <c r="AJ206" s="5" t="s">
        <v>46</v>
      </c>
      <c r="AK206" s="5" t="s">
        <v>46</v>
      </c>
      <c r="AL206" s="5" t="s">
        <v>46</v>
      </c>
    </row>
    <row r="207" s="5" customFormat="true" ht="15" hidden="false" customHeight="false" outlineLevel="0" collapsed="false">
      <c r="B207" s="5" t="str">
        <f aca="false">HYPERLINK("https://genome.ucsc.edu/cgi-bin/hgTracks?db=hg19&amp;position=chr18%3A2960513%2D2960514", "chr18:2960513")</f>
        <v>chr18:2960513</v>
      </c>
      <c r="C207" s="5" t="s">
        <v>1339</v>
      </c>
      <c r="D207" s="5" t="n">
        <v>2960513</v>
      </c>
      <c r="E207" s="5" t="n">
        <v>2960514</v>
      </c>
      <c r="F207" s="5" t="s">
        <v>249</v>
      </c>
      <c r="G207" s="5" t="s">
        <v>185</v>
      </c>
      <c r="H207" s="5" t="s">
        <v>1347</v>
      </c>
      <c r="I207" s="5" t="s">
        <v>661</v>
      </c>
      <c r="J207" s="5" t="s">
        <v>1348</v>
      </c>
      <c r="K207" s="5" t="s">
        <v>46</v>
      </c>
      <c r="L207" s="5" t="s">
        <v>46</v>
      </c>
      <c r="M207" s="5" t="str">
        <f aca="false">HYPERLINK("https://www.genecards.org/Search/Keyword?queryString=%5Baliases%5D(%20LPIN2%20)&amp;keywords=LPIN2", "LPIN2")</f>
        <v>LPIN2</v>
      </c>
      <c r="N207" s="5" t="s">
        <v>306</v>
      </c>
      <c r="O207" s="5" t="s">
        <v>46</v>
      </c>
      <c r="P207" s="5" t="s">
        <v>46</v>
      </c>
      <c r="Q207" s="5" t="n">
        <v>0.0136</v>
      </c>
      <c r="R207" s="5" t="n">
        <v>0.0007</v>
      </c>
      <c r="S207" s="5" t="n">
        <v>0.0005</v>
      </c>
      <c r="T207" s="5" t="n">
        <v>-1</v>
      </c>
      <c r="U207" s="5" t="n">
        <v>0.0015</v>
      </c>
      <c r="V207" s="5" t="s">
        <v>46</v>
      </c>
      <c r="W207" s="5" t="s">
        <v>46</v>
      </c>
      <c r="X207" s="5" t="s">
        <v>46</v>
      </c>
      <c r="Y207" s="5" t="s">
        <v>46</v>
      </c>
      <c r="Z207" s="5" t="s">
        <v>46</v>
      </c>
      <c r="AA207" s="5" t="s">
        <v>46</v>
      </c>
      <c r="AB207" s="5" t="s">
        <v>46</v>
      </c>
      <c r="AC207" s="5" t="s">
        <v>50</v>
      </c>
      <c r="AD207" s="5" t="s">
        <v>385</v>
      </c>
      <c r="AE207" s="5" t="s">
        <v>1343</v>
      </c>
      <c r="AF207" s="5" t="s">
        <v>1344</v>
      </c>
      <c r="AG207" s="5" t="s">
        <v>1345</v>
      </c>
      <c r="AH207" s="5" t="s">
        <v>1346</v>
      </c>
      <c r="AI207" s="5" t="s">
        <v>46</v>
      </c>
      <c r="AJ207" s="5" t="s">
        <v>46</v>
      </c>
      <c r="AK207" s="5" t="s">
        <v>46</v>
      </c>
      <c r="AL207" s="5" t="s">
        <v>46</v>
      </c>
    </row>
    <row r="208" customFormat="false" ht="15" hidden="false" customHeight="false" outlineLevel="0" collapsed="false">
      <c r="B208" s="0" t="str">
        <f aca="false">HYPERLINK("https://genome.ucsc.edu/cgi-bin/hgTracks?db=hg19&amp;position=chr18%3A10708321%2D10708321", "chr18:10708321")</f>
        <v>chr18:10708321</v>
      </c>
      <c r="C208" s="0" t="s">
        <v>1339</v>
      </c>
      <c r="D208" s="0" t="n">
        <v>10708321</v>
      </c>
      <c r="E208" s="0" t="n">
        <v>10708321</v>
      </c>
      <c r="F208" s="0" t="s">
        <v>40</v>
      </c>
      <c r="G208" s="0" t="s">
        <v>82</v>
      </c>
      <c r="H208" s="0" t="s">
        <v>1349</v>
      </c>
      <c r="I208" s="0" t="s">
        <v>1350</v>
      </c>
      <c r="J208" s="0" t="s">
        <v>1351</v>
      </c>
      <c r="K208" s="0" t="s">
        <v>46</v>
      </c>
      <c r="L208" s="0" t="str">
        <f aca="false">HYPERLINK("https://www.ncbi.nlm.nih.gov/snp/rs576779311", "rs576779311")</f>
        <v>rs576779311</v>
      </c>
      <c r="M208" s="0" t="str">
        <f aca="false">HYPERLINK("https://www.genecards.org/Search/Keyword?queryString=%5Baliases%5D(%20PIEZO2%20)&amp;keywords=PIEZO2", "PIEZO2")</f>
        <v>PIEZO2</v>
      </c>
      <c r="N208" s="0" t="s">
        <v>306</v>
      </c>
      <c r="O208" s="0" t="s">
        <v>46</v>
      </c>
      <c r="P208" s="0" t="s">
        <v>46</v>
      </c>
      <c r="Q208" s="0" t="n">
        <v>0.001</v>
      </c>
      <c r="R208" s="0" t="n">
        <v>-1</v>
      </c>
      <c r="S208" s="0" t="n">
        <v>-1</v>
      </c>
      <c r="T208" s="0" t="n">
        <v>-1</v>
      </c>
      <c r="U208" s="0" t="n">
        <v>-1</v>
      </c>
      <c r="V208" s="0" t="s">
        <v>46</v>
      </c>
      <c r="W208" s="0" t="s">
        <v>46</v>
      </c>
      <c r="X208" s="0" t="s">
        <v>46</v>
      </c>
      <c r="Y208" s="0" t="s">
        <v>46</v>
      </c>
      <c r="Z208" s="0" t="s">
        <v>46</v>
      </c>
      <c r="AA208" s="0" t="s">
        <v>46</v>
      </c>
      <c r="AB208" s="0" t="s">
        <v>46</v>
      </c>
      <c r="AC208" s="0" t="s">
        <v>50</v>
      </c>
      <c r="AD208" s="0" t="s">
        <v>51</v>
      </c>
      <c r="AE208" s="0" t="s">
        <v>1352</v>
      </c>
      <c r="AF208" s="0" t="s">
        <v>1353</v>
      </c>
      <c r="AG208" s="0" t="s">
        <v>1354</v>
      </c>
      <c r="AH208" s="0" t="s">
        <v>1355</v>
      </c>
      <c r="AI208" s="0" t="s">
        <v>46</v>
      </c>
      <c r="AJ208" s="0" t="s">
        <v>46</v>
      </c>
      <c r="AK208" s="0" t="s">
        <v>46</v>
      </c>
      <c r="AL208" s="0" t="s">
        <v>46</v>
      </c>
    </row>
    <row r="209" customFormat="false" ht="15" hidden="false" customHeight="false" outlineLevel="0" collapsed="false">
      <c r="B209" s="0" t="str">
        <f aca="false">HYPERLINK("https://genome.ucsc.edu/cgi-bin/hgTracks?db=hg19&amp;position=chr18%3A47351170%2D47351170", "chr18:47351170")</f>
        <v>chr18:47351170</v>
      </c>
      <c r="C209" s="0" t="s">
        <v>1339</v>
      </c>
      <c r="D209" s="0" t="n">
        <v>47351170</v>
      </c>
      <c r="E209" s="0" t="n">
        <v>47351170</v>
      </c>
      <c r="F209" s="0" t="s">
        <v>40</v>
      </c>
      <c r="G209" s="0" t="s">
        <v>82</v>
      </c>
      <c r="H209" s="0" t="s">
        <v>1356</v>
      </c>
      <c r="I209" s="0" t="s">
        <v>1357</v>
      </c>
      <c r="J209" s="0" t="s">
        <v>1358</v>
      </c>
      <c r="K209" s="0" t="s">
        <v>46</v>
      </c>
      <c r="L209" s="0" t="str">
        <f aca="false">HYPERLINK("https://www.ncbi.nlm.nih.gov/snp/rs9959610", "rs9959610")</f>
        <v>rs9959610</v>
      </c>
      <c r="M209" s="0" t="str">
        <f aca="false">HYPERLINK("https://www.genecards.org/Search/Keyword?queryString=%5Baliases%5D(%20MYO5B%20)%20OR%20%5Baliases%5D(%20SNHG22%20)&amp;keywords=MYO5B,SNHG22", "MYO5B;SNHG22")</f>
        <v>MYO5B;SNHG22</v>
      </c>
      <c r="N209" s="0" t="s">
        <v>208</v>
      </c>
      <c r="O209" s="0" t="s">
        <v>46</v>
      </c>
      <c r="P209" s="0" t="s">
        <v>1359</v>
      </c>
      <c r="Q209" s="0" t="n">
        <v>0.0003</v>
      </c>
      <c r="R209" s="0" t="n">
        <v>0.0002</v>
      </c>
      <c r="S209" s="0" t="n">
        <v>0.0001</v>
      </c>
      <c r="T209" s="0" t="n">
        <v>-1</v>
      </c>
      <c r="U209" s="0" t="n">
        <v>0.0002</v>
      </c>
      <c r="V209" s="0" t="s">
        <v>46</v>
      </c>
      <c r="W209" s="0" t="s">
        <v>46</v>
      </c>
      <c r="X209" s="0" t="s">
        <v>46</v>
      </c>
      <c r="Y209" s="0" t="s">
        <v>46</v>
      </c>
      <c r="Z209" s="0" t="s">
        <v>46</v>
      </c>
      <c r="AA209" s="0" t="s">
        <v>46</v>
      </c>
      <c r="AB209" s="0" t="s">
        <v>46</v>
      </c>
      <c r="AC209" s="0" t="s">
        <v>50</v>
      </c>
      <c r="AD209" s="0" t="s">
        <v>1360</v>
      </c>
      <c r="AE209" s="0" t="s">
        <v>1361</v>
      </c>
      <c r="AF209" s="0" t="s">
        <v>1362</v>
      </c>
      <c r="AG209" s="0" t="s">
        <v>1363</v>
      </c>
      <c r="AH209" s="0" t="s">
        <v>1364</v>
      </c>
      <c r="AI209" s="0" t="s">
        <v>46</v>
      </c>
      <c r="AJ209" s="0" t="s">
        <v>46</v>
      </c>
      <c r="AK209" s="0" t="s">
        <v>46</v>
      </c>
      <c r="AL209" s="0" t="s">
        <v>46</v>
      </c>
    </row>
    <row r="210" customFormat="false" ht="15" hidden="false" customHeight="false" outlineLevel="0" collapsed="false">
      <c r="B210" s="0" t="str">
        <f aca="false">HYPERLINK("https://genome.ucsc.edu/cgi-bin/hgTracks?db=hg19&amp;position=chr18%3A47352587%2D47352587", "chr18:47352587")</f>
        <v>chr18:47352587</v>
      </c>
      <c r="C210" s="0" t="s">
        <v>1339</v>
      </c>
      <c r="D210" s="0" t="n">
        <v>47352587</v>
      </c>
      <c r="E210" s="0" t="n">
        <v>47352587</v>
      </c>
      <c r="F210" s="0" t="s">
        <v>185</v>
      </c>
      <c r="G210" s="0" t="s">
        <v>1365</v>
      </c>
      <c r="H210" s="0" t="s">
        <v>1366</v>
      </c>
      <c r="I210" s="0" t="s">
        <v>1367</v>
      </c>
      <c r="J210" s="0" t="s">
        <v>1368</v>
      </c>
      <c r="K210" s="0" t="s">
        <v>46</v>
      </c>
      <c r="L210" s="0" t="s">
        <v>46</v>
      </c>
      <c r="M210" s="0" t="str">
        <f aca="false">HYPERLINK("https://www.genecards.org/Search/Keyword?queryString=%5Baliases%5D(%20MYO5B%20)%20OR%20%5Baliases%5D(%20SNHG22%20)&amp;keywords=MYO5B,SNHG22", "MYO5B;SNHG22")</f>
        <v>MYO5B;SNHG22</v>
      </c>
      <c r="N210" s="0" t="s">
        <v>208</v>
      </c>
      <c r="O210" s="0" t="s">
        <v>46</v>
      </c>
      <c r="P210" s="0" t="s">
        <v>1369</v>
      </c>
      <c r="Q210" s="0" t="n">
        <v>0.0061</v>
      </c>
      <c r="R210" s="0" t="n">
        <v>-1</v>
      </c>
      <c r="S210" s="0" t="n">
        <v>-1</v>
      </c>
      <c r="T210" s="0" t="n">
        <v>-1</v>
      </c>
      <c r="U210" s="0" t="n">
        <v>-1</v>
      </c>
      <c r="V210" s="0" t="s">
        <v>46</v>
      </c>
      <c r="W210" s="0" t="s">
        <v>46</v>
      </c>
      <c r="X210" s="0" t="s">
        <v>46</v>
      </c>
      <c r="Y210" s="0" t="s">
        <v>46</v>
      </c>
      <c r="Z210" s="0" t="s">
        <v>46</v>
      </c>
      <c r="AA210" s="0" t="s">
        <v>46</v>
      </c>
      <c r="AB210" s="0" t="s">
        <v>46</v>
      </c>
      <c r="AC210" s="0" t="s">
        <v>50</v>
      </c>
      <c r="AD210" s="0" t="s">
        <v>1360</v>
      </c>
      <c r="AE210" s="0" t="s">
        <v>1361</v>
      </c>
      <c r="AF210" s="0" t="s">
        <v>1362</v>
      </c>
      <c r="AG210" s="0" t="s">
        <v>1363</v>
      </c>
      <c r="AH210" s="0" t="s">
        <v>1364</v>
      </c>
      <c r="AI210" s="0" t="s">
        <v>46</v>
      </c>
      <c r="AJ210" s="0" t="s">
        <v>46</v>
      </c>
      <c r="AK210" s="0" t="s">
        <v>46</v>
      </c>
      <c r="AL210" s="0" t="s">
        <v>46</v>
      </c>
    </row>
    <row r="211" customFormat="false" ht="15" hidden="false" customHeight="false" outlineLevel="0" collapsed="false">
      <c r="B211" s="0" t="str">
        <f aca="false">HYPERLINK("https://genome.ucsc.edu/cgi-bin/hgTracks?db=hg19&amp;position=chr18%3A47352599%2D47352599", "chr18:47352599")</f>
        <v>chr18:47352599</v>
      </c>
      <c r="C211" s="0" t="s">
        <v>1339</v>
      </c>
      <c r="D211" s="0" t="n">
        <v>47352599</v>
      </c>
      <c r="E211" s="0" t="n">
        <v>47352599</v>
      </c>
      <c r="F211" s="0" t="s">
        <v>39</v>
      </c>
      <c r="G211" s="0" t="s">
        <v>82</v>
      </c>
      <c r="H211" s="0" t="s">
        <v>1370</v>
      </c>
      <c r="I211" s="0" t="s">
        <v>1371</v>
      </c>
      <c r="J211" s="0" t="s">
        <v>1372</v>
      </c>
      <c r="K211" s="0" t="s">
        <v>46</v>
      </c>
      <c r="L211" s="0" t="s">
        <v>46</v>
      </c>
      <c r="M211" s="0" t="str">
        <f aca="false">HYPERLINK("https://www.genecards.org/Search/Keyword?queryString=%5Baliases%5D(%20MYO5B%20)%20OR%20%5Baliases%5D(%20SNHG22%20)&amp;keywords=MYO5B,SNHG22", "MYO5B;SNHG22")</f>
        <v>MYO5B;SNHG22</v>
      </c>
      <c r="N211" s="0" t="s">
        <v>208</v>
      </c>
      <c r="O211" s="0" t="s">
        <v>46</v>
      </c>
      <c r="P211" s="0" t="s">
        <v>1373</v>
      </c>
      <c r="Q211" s="0" t="n">
        <v>0.010476</v>
      </c>
      <c r="R211" s="0" t="n">
        <v>0.0007</v>
      </c>
      <c r="S211" s="0" t="n">
        <v>0.0007</v>
      </c>
      <c r="T211" s="0" t="n">
        <v>-1</v>
      </c>
      <c r="U211" s="0" t="n">
        <v>0.0012</v>
      </c>
      <c r="V211" s="0" t="s">
        <v>46</v>
      </c>
      <c r="W211" s="0" t="s">
        <v>46</v>
      </c>
      <c r="X211" s="0" t="s">
        <v>46</v>
      </c>
      <c r="Y211" s="0" t="s">
        <v>46</v>
      </c>
      <c r="Z211" s="0" t="s">
        <v>46</v>
      </c>
      <c r="AA211" s="0" t="s">
        <v>46</v>
      </c>
      <c r="AB211" s="0" t="s">
        <v>46</v>
      </c>
      <c r="AC211" s="0" t="s">
        <v>50</v>
      </c>
      <c r="AD211" s="0" t="s">
        <v>1360</v>
      </c>
      <c r="AE211" s="0" t="s">
        <v>1361</v>
      </c>
      <c r="AF211" s="0" t="s">
        <v>1362</v>
      </c>
      <c r="AG211" s="0" t="s">
        <v>1363</v>
      </c>
      <c r="AH211" s="0" t="s">
        <v>1364</v>
      </c>
      <c r="AI211" s="0" t="s">
        <v>46</v>
      </c>
      <c r="AJ211" s="0" t="s">
        <v>46</v>
      </c>
      <c r="AK211" s="0" t="s">
        <v>46</v>
      </c>
      <c r="AL211" s="0" t="s">
        <v>46</v>
      </c>
    </row>
    <row r="212" customFormat="false" ht="15" hidden="false" customHeight="false" outlineLevel="0" collapsed="false">
      <c r="B212" s="0" t="str">
        <f aca="false">HYPERLINK("https://genome.ucsc.edu/cgi-bin/hgTracks?db=hg19&amp;position=chr18%3A47352785%2D47352785", "chr18:47352785")</f>
        <v>chr18:47352785</v>
      </c>
      <c r="C212" s="0" t="s">
        <v>1339</v>
      </c>
      <c r="D212" s="0" t="n">
        <v>47352785</v>
      </c>
      <c r="E212" s="0" t="n">
        <v>47352785</v>
      </c>
      <c r="F212" s="0" t="s">
        <v>57</v>
      </c>
      <c r="G212" s="0" t="s">
        <v>40</v>
      </c>
      <c r="H212" s="0" t="s">
        <v>1374</v>
      </c>
      <c r="I212" s="0" t="s">
        <v>1375</v>
      </c>
      <c r="J212" s="0" t="s">
        <v>1376</v>
      </c>
      <c r="K212" s="0" t="s">
        <v>46</v>
      </c>
      <c r="L212" s="0" t="str">
        <f aca="false">HYPERLINK("https://www.ncbi.nlm.nih.gov/snp/rs1058553", "rs1058553")</f>
        <v>rs1058553</v>
      </c>
      <c r="M212" s="0" t="str">
        <f aca="false">HYPERLINK("https://www.genecards.org/Search/Keyword?queryString=%5Baliases%5D(%20MYO5B%20)%20OR%20%5Baliases%5D(%20SNHG22%20)&amp;keywords=MYO5B,SNHG22", "MYO5B;SNHG22")</f>
        <v>MYO5B;SNHG22</v>
      </c>
      <c r="N212" s="0" t="s">
        <v>208</v>
      </c>
      <c r="O212" s="0" t="s">
        <v>46</v>
      </c>
      <c r="P212" s="0" t="s">
        <v>1377</v>
      </c>
      <c r="Q212" s="0" t="n">
        <v>0.0258</v>
      </c>
      <c r="R212" s="0" t="n">
        <v>0.0014</v>
      </c>
      <c r="S212" s="0" t="n">
        <v>0.0021</v>
      </c>
      <c r="T212" s="0" t="n">
        <v>-1</v>
      </c>
      <c r="U212" s="0" t="n">
        <v>0.0049</v>
      </c>
      <c r="V212" s="0" t="s">
        <v>46</v>
      </c>
      <c r="W212" s="0" t="s">
        <v>46</v>
      </c>
      <c r="X212" s="0" t="s">
        <v>46</v>
      </c>
      <c r="Y212" s="0" t="s">
        <v>46</v>
      </c>
      <c r="Z212" s="0" t="s">
        <v>46</v>
      </c>
      <c r="AA212" s="0" t="s">
        <v>46</v>
      </c>
      <c r="AB212" s="0" t="s">
        <v>46</v>
      </c>
      <c r="AC212" s="0" t="s">
        <v>50</v>
      </c>
      <c r="AD212" s="0" t="s">
        <v>1360</v>
      </c>
      <c r="AE212" s="0" t="s">
        <v>1361</v>
      </c>
      <c r="AF212" s="0" t="s">
        <v>1362</v>
      </c>
      <c r="AG212" s="0" t="s">
        <v>1363</v>
      </c>
      <c r="AH212" s="0" t="s">
        <v>1364</v>
      </c>
      <c r="AI212" s="0" t="s">
        <v>46</v>
      </c>
      <c r="AJ212" s="0" t="s">
        <v>46</v>
      </c>
      <c r="AK212" s="0" t="s">
        <v>46</v>
      </c>
      <c r="AL212" s="0" t="s">
        <v>46</v>
      </c>
    </row>
    <row r="213" customFormat="false" ht="15" hidden="false" customHeight="false" outlineLevel="0" collapsed="false">
      <c r="B213" s="0" t="str">
        <f aca="false">HYPERLINK("https://genome.ucsc.edu/cgi-bin/hgTracks?db=hg19&amp;position=chr18%3A50866439%2D50866439", "chr18:50866439")</f>
        <v>chr18:50866439</v>
      </c>
      <c r="C213" s="0" t="s">
        <v>1339</v>
      </c>
      <c r="D213" s="0" t="n">
        <v>50866439</v>
      </c>
      <c r="E213" s="0" t="n">
        <v>50866439</v>
      </c>
      <c r="F213" s="0" t="s">
        <v>40</v>
      </c>
      <c r="G213" s="0" t="s">
        <v>39</v>
      </c>
      <c r="H213" s="0" t="s">
        <v>1378</v>
      </c>
      <c r="I213" s="0" t="s">
        <v>909</v>
      </c>
      <c r="J213" s="0" t="s">
        <v>1031</v>
      </c>
      <c r="K213" s="0" t="s">
        <v>46</v>
      </c>
      <c r="L213" s="0" t="str">
        <f aca="false">HYPERLINK("https://www.ncbi.nlm.nih.gov/snp/rs201040794", "rs201040794")</f>
        <v>rs201040794</v>
      </c>
      <c r="M213" s="0" t="str">
        <f aca="false">HYPERLINK("https://www.genecards.org/Search/Keyword?queryString=%5Baliases%5D(%20DCC%20)&amp;keywords=DCC", "DCC")</f>
        <v>DCC</v>
      </c>
      <c r="N213" s="0" t="s">
        <v>45</v>
      </c>
      <c r="O213" s="0" t="s">
        <v>46</v>
      </c>
      <c r="P213" s="0" t="s">
        <v>46</v>
      </c>
      <c r="Q213" s="0" t="n">
        <v>0.0001537</v>
      </c>
      <c r="R213" s="0" t="n">
        <v>-1</v>
      </c>
      <c r="S213" s="0" t="n">
        <v>-1</v>
      </c>
      <c r="T213" s="0" t="n">
        <v>-1</v>
      </c>
      <c r="U213" s="0" t="n">
        <v>-1</v>
      </c>
      <c r="V213" s="0" t="s">
        <v>46</v>
      </c>
      <c r="W213" s="0" t="s">
        <v>46</v>
      </c>
      <c r="X213" s="0" t="s">
        <v>47</v>
      </c>
      <c r="Y213" s="0" t="s">
        <v>48</v>
      </c>
      <c r="Z213" s="0" t="s">
        <v>46</v>
      </c>
      <c r="AA213" s="0" t="s">
        <v>46</v>
      </c>
      <c r="AB213" s="0" t="s">
        <v>46</v>
      </c>
      <c r="AC213" s="0" t="s">
        <v>50</v>
      </c>
      <c r="AD213" s="0" t="s">
        <v>51</v>
      </c>
      <c r="AE213" s="0" t="s">
        <v>1379</v>
      </c>
      <c r="AF213" s="0" t="s">
        <v>1380</v>
      </c>
      <c r="AG213" s="0" t="s">
        <v>1381</v>
      </c>
      <c r="AH213" s="0" t="s">
        <v>1382</v>
      </c>
      <c r="AI213" s="0" t="s">
        <v>46</v>
      </c>
      <c r="AJ213" s="0" t="s">
        <v>46</v>
      </c>
      <c r="AK213" s="0" t="s">
        <v>46</v>
      </c>
      <c r="AL213" s="0" t="s">
        <v>46</v>
      </c>
    </row>
    <row r="214" customFormat="false" ht="15" hidden="false" customHeight="false" outlineLevel="0" collapsed="false">
      <c r="B214" s="0" t="str">
        <f aca="false">HYPERLINK("https://genome.ucsc.edu/cgi-bin/hgTracks?db=hg19&amp;position=chr18%3A61586930%2D61586930", "chr18:61586930")</f>
        <v>chr18:61586930</v>
      </c>
      <c r="C214" s="0" t="s">
        <v>1339</v>
      </c>
      <c r="D214" s="0" t="n">
        <v>61586930</v>
      </c>
      <c r="E214" s="0" t="n">
        <v>61586930</v>
      </c>
      <c r="F214" s="0" t="s">
        <v>40</v>
      </c>
      <c r="G214" s="0" t="s">
        <v>57</v>
      </c>
      <c r="H214" s="0" t="s">
        <v>1383</v>
      </c>
      <c r="I214" s="0" t="s">
        <v>296</v>
      </c>
      <c r="J214" s="0" t="s">
        <v>1384</v>
      </c>
      <c r="K214" s="0" t="s">
        <v>46</v>
      </c>
      <c r="L214" s="0" t="str">
        <f aca="false">HYPERLINK("https://www.ncbi.nlm.nih.gov/snp/rs150491161", "rs150491161")</f>
        <v>rs150491161</v>
      </c>
      <c r="M214" s="0" t="str">
        <f aca="false">HYPERLINK("https://www.genecards.org/Search/Keyword?queryString=%5Baliases%5D(%20SERPINB10%20)&amp;keywords=SERPINB10", "SERPINB10")</f>
        <v>SERPINB10</v>
      </c>
      <c r="N214" s="0" t="s">
        <v>45</v>
      </c>
      <c r="O214" s="0" t="s">
        <v>46</v>
      </c>
      <c r="P214" s="0" t="s">
        <v>46</v>
      </c>
      <c r="Q214" s="0" t="n">
        <v>0.0031</v>
      </c>
      <c r="R214" s="0" t="n">
        <v>0.0023</v>
      </c>
      <c r="S214" s="0" t="n">
        <v>0.0036</v>
      </c>
      <c r="T214" s="0" t="n">
        <v>-1</v>
      </c>
      <c r="U214" s="0" t="n">
        <v>0.0041</v>
      </c>
      <c r="V214" s="0" t="s">
        <v>46</v>
      </c>
      <c r="W214" s="0" t="s">
        <v>46</v>
      </c>
      <c r="X214" s="0" t="s">
        <v>47</v>
      </c>
      <c r="Y214" s="0" t="s">
        <v>48</v>
      </c>
      <c r="Z214" s="0" t="s">
        <v>46</v>
      </c>
      <c r="AA214" s="0" t="s">
        <v>46</v>
      </c>
      <c r="AB214" s="0" t="s">
        <v>46</v>
      </c>
      <c r="AC214" s="0" t="s">
        <v>50</v>
      </c>
      <c r="AD214" s="0" t="s">
        <v>51</v>
      </c>
      <c r="AE214" s="0" t="s">
        <v>1385</v>
      </c>
      <c r="AF214" s="0" t="s">
        <v>1386</v>
      </c>
      <c r="AG214" s="0" t="s">
        <v>1387</v>
      </c>
      <c r="AH214" s="0" t="s">
        <v>46</v>
      </c>
      <c r="AI214" s="0" t="s">
        <v>46</v>
      </c>
      <c r="AJ214" s="0" t="s">
        <v>46</v>
      </c>
      <c r="AK214" s="0" t="s">
        <v>46</v>
      </c>
      <c r="AL214" s="0" t="s">
        <v>46</v>
      </c>
    </row>
    <row r="215" customFormat="false" ht="15" hidden="false" customHeight="false" outlineLevel="0" collapsed="false">
      <c r="B215" s="0" t="str">
        <f aca="false">HYPERLINK("https://genome.ucsc.edu/cgi-bin/hgTracks?db=hg19&amp;position=chr19%3A1394460%2D1394460", "chr19:1394460")</f>
        <v>chr19:1394460</v>
      </c>
      <c r="C215" s="0" t="s">
        <v>241</v>
      </c>
      <c r="D215" s="0" t="n">
        <v>1394460</v>
      </c>
      <c r="E215" s="0" t="n">
        <v>1394460</v>
      </c>
      <c r="F215" s="0" t="s">
        <v>40</v>
      </c>
      <c r="G215" s="0" t="s">
        <v>82</v>
      </c>
      <c r="H215" s="0" t="s">
        <v>1388</v>
      </c>
      <c r="I215" s="0" t="s">
        <v>1389</v>
      </c>
      <c r="J215" s="0" t="s">
        <v>1390</v>
      </c>
      <c r="K215" s="0" t="s">
        <v>46</v>
      </c>
      <c r="L215" s="0" t="str">
        <f aca="false">HYPERLINK("https://www.ncbi.nlm.nih.gov/snp/rs781214662", "rs781214662")</f>
        <v>rs781214662</v>
      </c>
      <c r="M215" s="0" t="str">
        <f aca="false">HYPERLINK("https://www.genecards.org/Search/Keyword?queryString=%5Baliases%5D(%20AK126693%20)%20OR%20%5Baliases%5D(%20NDUFS7%20)&amp;keywords=AK126693,NDUFS7", "AK126693;NDUFS7")</f>
        <v>AK126693;NDUFS7</v>
      </c>
      <c r="N215" s="0" t="s">
        <v>208</v>
      </c>
      <c r="O215" s="0" t="s">
        <v>46</v>
      </c>
      <c r="P215" s="0" t="s">
        <v>1391</v>
      </c>
      <c r="Q215" s="0" t="n">
        <v>0.0003</v>
      </c>
      <c r="R215" s="0" t="n">
        <v>0.0005</v>
      </c>
      <c r="S215" s="0" t="n">
        <v>0.0004</v>
      </c>
      <c r="T215" s="0" t="n">
        <v>-1</v>
      </c>
      <c r="U215" s="0" t="n">
        <v>0.0009</v>
      </c>
      <c r="V215" s="0" t="s">
        <v>46</v>
      </c>
      <c r="W215" s="0" t="s">
        <v>46</v>
      </c>
      <c r="X215" s="0" t="s">
        <v>46</v>
      </c>
      <c r="Y215" s="0" t="s">
        <v>46</v>
      </c>
      <c r="Z215" s="0" t="s">
        <v>46</v>
      </c>
      <c r="AA215" s="0" t="s">
        <v>46</v>
      </c>
      <c r="AB215" s="0" t="s">
        <v>46</v>
      </c>
      <c r="AC215" s="0" t="s">
        <v>50</v>
      </c>
      <c r="AD215" s="0" t="s">
        <v>191</v>
      </c>
      <c r="AE215" s="0" t="s">
        <v>1392</v>
      </c>
      <c r="AF215" s="0" t="s">
        <v>1393</v>
      </c>
      <c r="AG215" s="0" t="s">
        <v>1394</v>
      </c>
      <c r="AH215" s="0" t="s">
        <v>1395</v>
      </c>
      <c r="AI215" s="0" t="s">
        <v>46</v>
      </c>
      <c r="AJ215" s="0" t="s">
        <v>46</v>
      </c>
      <c r="AK215" s="0" t="s">
        <v>46</v>
      </c>
      <c r="AL215" s="0" t="s">
        <v>46</v>
      </c>
    </row>
    <row r="216" customFormat="false" ht="15" hidden="false" customHeight="false" outlineLevel="0" collapsed="false">
      <c r="B216" s="0" t="str">
        <f aca="false">HYPERLINK("https://genome.ucsc.edu/cgi-bin/hgTracks?db=hg19&amp;position=chr19%3A4702229%2D4702229", "chr19:4702229")</f>
        <v>chr19:4702229</v>
      </c>
      <c r="C216" s="0" t="s">
        <v>241</v>
      </c>
      <c r="D216" s="0" t="n">
        <v>4702229</v>
      </c>
      <c r="E216" s="0" t="n">
        <v>4702229</v>
      </c>
      <c r="F216" s="0" t="s">
        <v>40</v>
      </c>
      <c r="G216" s="0" t="s">
        <v>82</v>
      </c>
      <c r="H216" s="0" t="s">
        <v>1396</v>
      </c>
      <c r="I216" s="0" t="s">
        <v>164</v>
      </c>
      <c r="J216" s="0" t="s">
        <v>1397</v>
      </c>
      <c r="K216" s="0" t="s">
        <v>46</v>
      </c>
      <c r="L216" s="0" t="str">
        <f aca="false">HYPERLINK("https://www.ncbi.nlm.nih.gov/snp/rs894927484", "rs894927484")</f>
        <v>rs894927484</v>
      </c>
      <c r="M216" s="0" t="str">
        <f aca="false">HYPERLINK("https://www.genecards.org/Search/Keyword?queryString=%5Baliases%5D(%20DPP9%20)&amp;keywords=DPP9", "DPP9")</f>
        <v>DPP9</v>
      </c>
      <c r="N216" s="0" t="s">
        <v>45</v>
      </c>
      <c r="O216" s="0" t="s">
        <v>46</v>
      </c>
      <c r="P216" s="0" t="s">
        <v>46</v>
      </c>
      <c r="Q216" s="0" t="n">
        <v>0.0006</v>
      </c>
      <c r="R216" s="0" t="n">
        <v>-1</v>
      </c>
      <c r="S216" s="0" t="n">
        <v>-1</v>
      </c>
      <c r="T216" s="0" t="n">
        <v>-1</v>
      </c>
      <c r="U216" s="0" t="n">
        <v>-1</v>
      </c>
      <c r="V216" s="0" t="s">
        <v>46</v>
      </c>
      <c r="W216" s="0" t="s">
        <v>46</v>
      </c>
      <c r="X216" s="0" t="s">
        <v>354</v>
      </c>
      <c r="Y216" s="0" t="s">
        <v>48</v>
      </c>
      <c r="Z216" s="0" t="s">
        <v>46</v>
      </c>
      <c r="AA216" s="0" t="s">
        <v>46</v>
      </c>
      <c r="AB216" s="0" t="s">
        <v>46</v>
      </c>
      <c r="AC216" s="0" t="s">
        <v>50</v>
      </c>
      <c r="AD216" s="0" t="s">
        <v>51</v>
      </c>
      <c r="AE216" s="0" t="s">
        <v>1398</v>
      </c>
      <c r="AF216" s="0" t="s">
        <v>1399</v>
      </c>
      <c r="AG216" s="0" t="s">
        <v>1400</v>
      </c>
      <c r="AH216" s="0" t="s">
        <v>46</v>
      </c>
      <c r="AI216" s="0" t="s">
        <v>46</v>
      </c>
      <c r="AJ216" s="0" t="s">
        <v>46</v>
      </c>
      <c r="AK216" s="0" t="s">
        <v>46</v>
      </c>
      <c r="AL216" s="0" t="s">
        <v>46</v>
      </c>
    </row>
    <row r="217" customFormat="false" ht="15" hidden="false" customHeight="false" outlineLevel="0" collapsed="false">
      <c r="B217" s="0" t="str">
        <f aca="false">HYPERLINK("https://genome.ucsc.edu/cgi-bin/hgTracks?db=hg19&amp;position=chr19%3A5921502%2D5921502", "chr19:5921502")</f>
        <v>chr19:5921502</v>
      </c>
      <c r="C217" s="0" t="s">
        <v>241</v>
      </c>
      <c r="D217" s="0" t="n">
        <v>5921502</v>
      </c>
      <c r="E217" s="0" t="n">
        <v>5921502</v>
      </c>
      <c r="F217" s="0" t="s">
        <v>57</v>
      </c>
      <c r="G217" s="0" t="s">
        <v>40</v>
      </c>
      <c r="H217" s="0" t="s">
        <v>1401</v>
      </c>
      <c r="I217" s="0" t="s">
        <v>621</v>
      </c>
      <c r="J217" s="0" t="s">
        <v>1402</v>
      </c>
      <c r="K217" s="0" t="s">
        <v>46</v>
      </c>
      <c r="L217" s="0" t="str">
        <f aca="false">HYPERLINK("https://www.ncbi.nlm.nih.gov/snp/rs552617180", "rs552617180")</f>
        <v>rs552617180</v>
      </c>
      <c r="M217" s="0" t="str">
        <f aca="false">HYPERLINK("https://www.genecards.org/Search/Keyword?queryString=%5Baliases%5D(%20RANBP3%20)&amp;keywords=RANBP3", "RANBP3")</f>
        <v>RANBP3</v>
      </c>
      <c r="N217" s="0" t="s">
        <v>45</v>
      </c>
      <c r="O217" s="0" t="s">
        <v>46</v>
      </c>
      <c r="P217" s="0" t="s">
        <v>46</v>
      </c>
      <c r="Q217" s="0" t="n">
        <v>0.0042</v>
      </c>
      <c r="R217" s="0" t="n">
        <v>0.0043</v>
      </c>
      <c r="S217" s="0" t="n">
        <v>0.0043</v>
      </c>
      <c r="T217" s="0" t="n">
        <v>-1</v>
      </c>
      <c r="U217" s="0" t="n">
        <v>0.0045</v>
      </c>
      <c r="V217" s="0" t="s">
        <v>46</v>
      </c>
      <c r="W217" s="0" t="s">
        <v>46</v>
      </c>
      <c r="X217" s="0" t="s">
        <v>47</v>
      </c>
      <c r="Y217" s="0" t="s">
        <v>48</v>
      </c>
      <c r="Z217" s="0" t="s">
        <v>46</v>
      </c>
      <c r="AA217" s="0" t="s">
        <v>46</v>
      </c>
      <c r="AB217" s="0" t="s">
        <v>46</v>
      </c>
      <c r="AC217" s="0" t="s">
        <v>50</v>
      </c>
      <c r="AD217" s="0" t="s">
        <v>51</v>
      </c>
      <c r="AE217" s="0" t="s">
        <v>1403</v>
      </c>
      <c r="AF217" s="0" t="s">
        <v>1404</v>
      </c>
      <c r="AG217" s="0" t="s">
        <v>1405</v>
      </c>
      <c r="AH217" s="0" t="s">
        <v>46</v>
      </c>
      <c r="AI217" s="0" t="s">
        <v>46</v>
      </c>
      <c r="AJ217" s="0" t="s">
        <v>46</v>
      </c>
      <c r="AK217" s="0" t="s">
        <v>46</v>
      </c>
      <c r="AL217" s="0" t="s">
        <v>46</v>
      </c>
    </row>
    <row r="218" customFormat="false" ht="15" hidden="false" customHeight="false" outlineLevel="0" collapsed="false">
      <c r="B218" s="0" t="str">
        <f aca="false">HYPERLINK("https://genome.ucsc.edu/cgi-bin/hgTracks?db=hg19&amp;position=chr19%3A9006442%2D9006442", "chr19:9006442")</f>
        <v>chr19:9006442</v>
      </c>
      <c r="C218" s="0" t="s">
        <v>241</v>
      </c>
      <c r="D218" s="0" t="n">
        <v>9006442</v>
      </c>
      <c r="E218" s="0" t="n">
        <v>9006442</v>
      </c>
      <c r="F218" s="0" t="s">
        <v>57</v>
      </c>
      <c r="G218" s="0" t="s">
        <v>82</v>
      </c>
      <c r="H218" s="0" t="s">
        <v>1406</v>
      </c>
      <c r="I218" s="0" t="s">
        <v>1407</v>
      </c>
      <c r="J218" s="0" t="s">
        <v>1408</v>
      </c>
      <c r="K218" s="0" t="s">
        <v>46</v>
      </c>
      <c r="L218" s="0" t="str">
        <f aca="false">HYPERLINK("https://www.ncbi.nlm.nih.gov/snp/rs757047885", "rs757047885")</f>
        <v>rs757047885</v>
      </c>
      <c r="M218" s="0" t="str">
        <f aca="false">HYPERLINK("https://www.genecards.org/Search/Keyword?queryString=%5Baliases%5D(%20MUC16%20)&amp;keywords=MUC16", "MUC16")</f>
        <v>MUC16</v>
      </c>
      <c r="N218" s="0" t="s">
        <v>45</v>
      </c>
      <c r="O218" s="0" t="s">
        <v>46</v>
      </c>
      <c r="P218" s="0" t="s">
        <v>46</v>
      </c>
      <c r="Q218" s="0" t="n">
        <v>0.0172</v>
      </c>
      <c r="R218" s="0" t="n">
        <v>0.0189</v>
      </c>
      <c r="S218" s="0" t="n">
        <v>0.0172</v>
      </c>
      <c r="T218" s="0" t="n">
        <v>-1</v>
      </c>
      <c r="U218" s="0" t="n">
        <v>0.0143</v>
      </c>
      <c r="V218" s="0" t="s">
        <v>46</v>
      </c>
      <c r="W218" s="0" t="s">
        <v>46</v>
      </c>
      <c r="X218" s="0" t="s">
        <v>47</v>
      </c>
      <c r="Y218" s="0" t="s">
        <v>48</v>
      </c>
      <c r="Z218" s="0" t="s">
        <v>46</v>
      </c>
      <c r="AA218" s="0" t="s">
        <v>46</v>
      </c>
      <c r="AB218" s="0" t="s">
        <v>46</v>
      </c>
      <c r="AC218" s="0" t="s">
        <v>50</v>
      </c>
      <c r="AD218" s="0" t="s">
        <v>51</v>
      </c>
      <c r="AE218" s="0" t="s">
        <v>46</v>
      </c>
      <c r="AF218" s="0" t="s">
        <v>1409</v>
      </c>
      <c r="AG218" s="0" t="s">
        <v>1410</v>
      </c>
      <c r="AH218" s="0" t="s">
        <v>46</v>
      </c>
      <c r="AI218" s="0" t="s">
        <v>46</v>
      </c>
      <c r="AJ218" s="0" t="s">
        <v>46</v>
      </c>
      <c r="AK218" s="0" t="s">
        <v>46</v>
      </c>
      <c r="AL218" s="0" t="s">
        <v>46</v>
      </c>
    </row>
    <row r="219" customFormat="false" ht="15" hidden="false" customHeight="false" outlineLevel="0" collapsed="false">
      <c r="B219" s="0" t="str">
        <f aca="false">HYPERLINK("https://genome.ucsc.edu/cgi-bin/hgTracks?db=hg19&amp;position=chr19%3A12204656%2D12204656", "chr19:12204656")</f>
        <v>chr19:12204656</v>
      </c>
      <c r="C219" s="0" t="s">
        <v>241</v>
      </c>
      <c r="D219" s="0" t="n">
        <v>12204656</v>
      </c>
      <c r="E219" s="0" t="n">
        <v>12204656</v>
      </c>
      <c r="F219" s="0" t="s">
        <v>185</v>
      </c>
      <c r="G219" s="0" t="s">
        <v>57</v>
      </c>
      <c r="H219" s="0" t="s">
        <v>1411</v>
      </c>
      <c r="I219" s="0" t="s">
        <v>1412</v>
      </c>
      <c r="J219" s="0" t="s">
        <v>1413</v>
      </c>
      <c r="K219" s="0" t="s">
        <v>46</v>
      </c>
      <c r="L219" s="0" t="str">
        <f aca="false">HYPERLINK("https://www.ncbi.nlm.nih.gov/snp/rs751923936", "rs751923936")</f>
        <v>rs751923936</v>
      </c>
      <c r="M219" s="0" t="str">
        <f aca="false">HYPERLINK("https://www.genecards.org/Search/Keyword?queryString=%5Baliases%5D(%20ZNF788%20)%20OR%20%5Baliases%5D(%20ZNF788P%20)&amp;keywords=ZNF788,ZNF788P", "ZNF788;ZNF788P")</f>
        <v>ZNF788;ZNF788P</v>
      </c>
      <c r="N219" s="0" t="s">
        <v>1414</v>
      </c>
      <c r="O219" s="0" t="s">
        <v>273</v>
      </c>
      <c r="P219" s="0" t="s">
        <v>1415</v>
      </c>
      <c r="Q219" s="0" t="n">
        <v>0.0009</v>
      </c>
      <c r="R219" s="0" t="n">
        <v>9.33E-005</v>
      </c>
      <c r="S219" s="0" t="n">
        <v>7.559E-005</v>
      </c>
      <c r="T219" s="0" t="n">
        <v>-1</v>
      </c>
      <c r="U219" s="0" t="n">
        <v>0.0002</v>
      </c>
      <c r="V219" s="0" t="s">
        <v>46</v>
      </c>
      <c r="W219" s="0" t="s">
        <v>46</v>
      </c>
      <c r="X219" s="0" t="s">
        <v>46</v>
      </c>
      <c r="Y219" s="0" t="s">
        <v>46</v>
      </c>
      <c r="Z219" s="0" t="s">
        <v>46</v>
      </c>
      <c r="AA219" s="0" t="s">
        <v>46</v>
      </c>
      <c r="AB219" s="0" t="s">
        <v>46</v>
      </c>
      <c r="AC219" s="0" t="s">
        <v>50</v>
      </c>
      <c r="AD219" s="0" t="s">
        <v>576</v>
      </c>
      <c r="AE219" s="0" t="s">
        <v>1416</v>
      </c>
      <c r="AF219" s="0" t="s">
        <v>1417</v>
      </c>
      <c r="AG219" s="0" t="s">
        <v>428</v>
      </c>
      <c r="AH219" s="0" t="s">
        <v>46</v>
      </c>
      <c r="AI219" s="0" t="s">
        <v>46</v>
      </c>
      <c r="AJ219" s="0" t="s">
        <v>46</v>
      </c>
      <c r="AK219" s="0" t="s">
        <v>46</v>
      </c>
      <c r="AL219" s="0" t="s">
        <v>46</v>
      </c>
    </row>
    <row r="220" customFormat="false" ht="15" hidden="false" customHeight="false" outlineLevel="0" collapsed="false">
      <c r="B220" s="0" t="str">
        <f aca="false">HYPERLINK("https://genome.ucsc.edu/cgi-bin/hgTracks?db=hg19&amp;position=chr19%3A12221361%2D12221361", "chr19:12221361")</f>
        <v>chr19:12221361</v>
      </c>
      <c r="C220" s="0" t="s">
        <v>241</v>
      </c>
      <c r="D220" s="0" t="n">
        <v>12221361</v>
      </c>
      <c r="E220" s="0" t="n">
        <v>12221361</v>
      </c>
      <c r="F220" s="0" t="s">
        <v>39</v>
      </c>
      <c r="G220" s="0" t="s">
        <v>57</v>
      </c>
      <c r="H220" s="0" t="s">
        <v>1418</v>
      </c>
      <c r="I220" s="0" t="s">
        <v>133</v>
      </c>
      <c r="J220" s="0" t="s">
        <v>1419</v>
      </c>
      <c r="K220" s="0" t="s">
        <v>46</v>
      </c>
      <c r="L220" s="0" t="s">
        <v>46</v>
      </c>
      <c r="M220" s="0" t="str">
        <f aca="false">HYPERLINK("https://www.genecards.org/Search/Keyword?queryString=%5Baliases%5D(%20ZNF788%20)%20OR%20%5Baliases%5D(%20ZNF788P%20)&amp;keywords=ZNF788,ZNF788P", "ZNF788;ZNF788P")</f>
        <v>ZNF788;ZNF788P</v>
      </c>
      <c r="N220" s="0" t="s">
        <v>45</v>
      </c>
      <c r="O220" s="0" t="s">
        <v>46</v>
      </c>
      <c r="P220" s="0" t="s">
        <v>46</v>
      </c>
      <c r="Q220" s="0" t="n">
        <v>-1</v>
      </c>
      <c r="R220" s="0" t="n">
        <v>-1</v>
      </c>
      <c r="S220" s="0" t="n">
        <v>-1</v>
      </c>
      <c r="T220" s="0" t="n">
        <v>-1</v>
      </c>
      <c r="U220" s="0" t="n">
        <v>-1</v>
      </c>
      <c r="V220" s="0" t="s">
        <v>46</v>
      </c>
      <c r="W220" s="0" t="s">
        <v>46</v>
      </c>
      <c r="X220" s="0" t="s">
        <v>354</v>
      </c>
      <c r="Y220" s="0" t="s">
        <v>48</v>
      </c>
      <c r="Z220" s="0" t="s">
        <v>46</v>
      </c>
      <c r="AA220" s="0" t="s">
        <v>46</v>
      </c>
      <c r="AB220" s="0" t="s">
        <v>46</v>
      </c>
      <c r="AC220" s="0" t="s">
        <v>50</v>
      </c>
      <c r="AD220" s="0" t="s">
        <v>576</v>
      </c>
      <c r="AE220" s="0" t="s">
        <v>1416</v>
      </c>
      <c r="AF220" s="0" t="s">
        <v>1417</v>
      </c>
      <c r="AG220" s="0" t="s">
        <v>428</v>
      </c>
      <c r="AH220" s="0" t="s">
        <v>46</v>
      </c>
      <c r="AI220" s="0" t="s">
        <v>46</v>
      </c>
      <c r="AJ220" s="0" t="s">
        <v>46</v>
      </c>
      <c r="AK220" s="0" t="s">
        <v>46</v>
      </c>
      <c r="AL220" s="0" t="s">
        <v>46</v>
      </c>
    </row>
    <row r="221" customFormat="false" ht="15" hidden="false" customHeight="false" outlineLevel="0" collapsed="false">
      <c r="B221" s="0" t="str">
        <f aca="false">HYPERLINK("https://genome.ucsc.edu/cgi-bin/hgTracks?db=hg19&amp;position=chr19%3A14694045%2D14694045", "chr19:14694045")</f>
        <v>chr19:14694045</v>
      </c>
      <c r="C221" s="0" t="s">
        <v>241</v>
      </c>
      <c r="D221" s="0" t="n">
        <v>14694045</v>
      </c>
      <c r="E221" s="0" t="n">
        <v>14694045</v>
      </c>
      <c r="F221" s="0" t="s">
        <v>40</v>
      </c>
      <c r="G221" s="0" t="s">
        <v>57</v>
      </c>
      <c r="H221" s="0" t="s">
        <v>1420</v>
      </c>
      <c r="I221" s="0" t="s">
        <v>1421</v>
      </c>
      <c r="J221" s="0" t="s">
        <v>1422</v>
      </c>
      <c r="K221" s="0" t="s">
        <v>46</v>
      </c>
      <c r="L221" s="0" t="str">
        <f aca="false">HYPERLINK("https://www.ncbi.nlm.nih.gov/snp/rs529427900", "rs529427900")</f>
        <v>rs529427900</v>
      </c>
      <c r="M221" s="0" t="str">
        <f aca="false">HYPERLINK("https://www.genecards.org/Search/Keyword?queryString=%5Baliases%5D(%20CLEC17A%20)&amp;keywords=CLEC17A", "CLEC17A")</f>
        <v>CLEC17A</v>
      </c>
      <c r="N221" s="0" t="s">
        <v>45</v>
      </c>
      <c r="O221" s="0" t="s">
        <v>46</v>
      </c>
      <c r="P221" s="0" t="s">
        <v>46</v>
      </c>
      <c r="Q221" s="0" t="n">
        <v>0.0055</v>
      </c>
      <c r="R221" s="0" t="n">
        <v>0.0035</v>
      </c>
      <c r="S221" s="0" t="n">
        <v>0.0039</v>
      </c>
      <c r="T221" s="0" t="n">
        <v>-1</v>
      </c>
      <c r="U221" s="0" t="n">
        <v>0.0024</v>
      </c>
      <c r="V221" s="0" t="s">
        <v>46</v>
      </c>
      <c r="W221" s="0" t="s">
        <v>46</v>
      </c>
      <c r="X221" s="0" t="s">
        <v>354</v>
      </c>
      <c r="Y221" s="0" t="s">
        <v>48</v>
      </c>
      <c r="Z221" s="0" t="s">
        <v>46</v>
      </c>
      <c r="AA221" s="0" t="s">
        <v>46</v>
      </c>
      <c r="AB221" s="0" t="s">
        <v>46</v>
      </c>
      <c r="AC221" s="0" t="s">
        <v>50</v>
      </c>
      <c r="AD221" s="0" t="s">
        <v>51</v>
      </c>
      <c r="AE221" s="0" t="s">
        <v>1423</v>
      </c>
      <c r="AF221" s="0" t="s">
        <v>1424</v>
      </c>
      <c r="AG221" s="0" t="s">
        <v>1425</v>
      </c>
      <c r="AH221" s="0" t="s">
        <v>46</v>
      </c>
      <c r="AI221" s="0" t="s">
        <v>46</v>
      </c>
      <c r="AJ221" s="0" t="s">
        <v>46</v>
      </c>
      <c r="AK221" s="0" t="s">
        <v>46</v>
      </c>
      <c r="AL221" s="0" t="s">
        <v>487</v>
      </c>
    </row>
    <row r="222" customFormat="false" ht="15" hidden="false" customHeight="false" outlineLevel="0" collapsed="false">
      <c r="B222" s="0" t="str">
        <f aca="false">HYPERLINK("https://genome.ucsc.edu/cgi-bin/hgTracks?db=hg19&amp;position=chr19%3A33882407%2D33882407", "chr19:33882407")</f>
        <v>chr19:33882407</v>
      </c>
      <c r="C222" s="0" t="s">
        <v>241</v>
      </c>
      <c r="D222" s="0" t="n">
        <v>33882407</v>
      </c>
      <c r="E222" s="0" t="n">
        <v>33882407</v>
      </c>
      <c r="F222" s="0" t="s">
        <v>40</v>
      </c>
      <c r="G222" s="0" t="s">
        <v>82</v>
      </c>
      <c r="H222" s="0" t="s">
        <v>1426</v>
      </c>
      <c r="I222" s="0" t="s">
        <v>671</v>
      </c>
      <c r="J222" s="0" t="s">
        <v>1427</v>
      </c>
      <c r="K222" s="0" t="s">
        <v>46</v>
      </c>
      <c r="L222" s="0" t="str">
        <f aca="false">HYPERLINK("https://www.ncbi.nlm.nih.gov/snp/rs770576255", "rs770576255")</f>
        <v>rs770576255</v>
      </c>
      <c r="M222" s="0" t="str">
        <f aca="false">HYPERLINK("https://www.genecards.org/Search/Keyword?queryString=%5Baliases%5D(%20PEPD%20)&amp;keywords=PEPD", "PEPD")</f>
        <v>PEPD</v>
      </c>
      <c r="N222" s="0" t="s">
        <v>45</v>
      </c>
      <c r="O222" s="0" t="s">
        <v>46</v>
      </c>
      <c r="P222" s="0" t="s">
        <v>46</v>
      </c>
      <c r="Q222" s="0" t="n">
        <v>0.0018</v>
      </c>
      <c r="R222" s="0" t="n">
        <v>0.0004</v>
      </c>
      <c r="S222" s="0" t="n">
        <v>0.0003</v>
      </c>
      <c r="T222" s="0" t="n">
        <v>-1</v>
      </c>
      <c r="U222" s="0" t="n">
        <v>0.0007</v>
      </c>
      <c r="V222" s="0" t="s">
        <v>46</v>
      </c>
      <c r="W222" s="0" t="s">
        <v>46</v>
      </c>
      <c r="X222" s="0" t="s">
        <v>354</v>
      </c>
      <c r="Y222" s="0" t="s">
        <v>48</v>
      </c>
      <c r="Z222" s="0" t="s">
        <v>46</v>
      </c>
      <c r="AA222" s="0" t="s">
        <v>46</v>
      </c>
      <c r="AB222" s="0" t="s">
        <v>46</v>
      </c>
      <c r="AC222" s="0" t="s">
        <v>50</v>
      </c>
      <c r="AD222" s="0" t="s">
        <v>51</v>
      </c>
      <c r="AE222" s="0" t="s">
        <v>1428</v>
      </c>
      <c r="AF222" s="0" t="s">
        <v>1429</v>
      </c>
      <c r="AG222" s="0" t="s">
        <v>1430</v>
      </c>
      <c r="AH222" s="0" t="s">
        <v>1431</v>
      </c>
      <c r="AI222" s="0" t="s">
        <v>46</v>
      </c>
      <c r="AJ222" s="0" t="s">
        <v>46</v>
      </c>
      <c r="AK222" s="0" t="s">
        <v>46</v>
      </c>
      <c r="AL222" s="0" t="s">
        <v>46</v>
      </c>
    </row>
    <row r="223" customFormat="false" ht="15" hidden="false" customHeight="false" outlineLevel="0" collapsed="false">
      <c r="B223" s="0" t="str">
        <f aca="false">HYPERLINK("https://genome.ucsc.edu/cgi-bin/hgTracks?db=hg19&amp;position=chr19%3A35084985%2D35084985", "chr19:35084985")</f>
        <v>chr19:35084985</v>
      </c>
      <c r="C223" s="0" t="s">
        <v>241</v>
      </c>
      <c r="D223" s="0" t="n">
        <v>35084985</v>
      </c>
      <c r="E223" s="0" t="n">
        <v>35084985</v>
      </c>
      <c r="F223" s="0" t="s">
        <v>57</v>
      </c>
      <c r="G223" s="0" t="s">
        <v>40</v>
      </c>
      <c r="H223" s="0" t="s">
        <v>1432</v>
      </c>
      <c r="I223" s="0" t="s">
        <v>1433</v>
      </c>
      <c r="J223" s="0" t="s">
        <v>1434</v>
      </c>
      <c r="K223" s="0" t="s">
        <v>46</v>
      </c>
      <c r="L223" s="0" t="s">
        <v>46</v>
      </c>
      <c r="M223" s="0" t="str">
        <f aca="false">HYPERLINK("https://www.genecards.org/Search/Keyword?queryString=%5Baliases%5D(%20SCGB1B2P%20)%20OR%20%5Baliases%5D(%20SCGB2B2%20)&amp;keywords=SCGB1B2P,SCGB2B2", "SCGB1B2P;SCGB2B2")</f>
        <v>SCGB1B2P;SCGB2B2</v>
      </c>
      <c r="N223" s="0" t="s">
        <v>306</v>
      </c>
      <c r="O223" s="0" t="s">
        <v>46</v>
      </c>
      <c r="P223" s="0" t="s">
        <v>46</v>
      </c>
      <c r="Q223" s="0" t="n">
        <v>0.0002</v>
      </c>
      <c r="R223" s="0" t="n">
        <v>0.0002</v>
      </c>
      <c r="S223" s="0" t="n">
        <v>0.0002</v>
      </c>
      <c r="T223" s="0" t="n">
        <v>-1</v>
      </c>
      <c r="U223" s="0" t="n">
        <v>0.0004</v>
      </c>
      <c r="V223" s="0" t="s">
        <v>46</v>
      </c>
      <c r="W223" s="0" t="s">
        <v>46</v>
      </c>
      <c r="X223" s="0" t="s">
        <v>354</v>
      </c>
      <c r="Y223" s="0" t="s">
        <v>48</v>
      </c>
      <c r="Z223" s="0" t="s">
        <v>46</v>
      </c>
      <c r="AA223" s="0" t="s">
        <v>46</v>
      </c>
      <c r="AB223" s="0" t="s">
        <v>46</v>
      </c>
      <c r="AC223" s="0" t="s">
        <v>50</v>
      </c>
      <c r="AD223" s="0" t="s">
        <v>191</v>
      </c>
      <c r="AE223" s="0" t="s">
        <v>1435</v>
      </c>
      <c r="AF223" s="0" t="s">
        <v>1436</v>
      </c>
      <c r="AG223" s="0" t="s">
        <v>46</v>
      </c>
      <c r="AH223" s="0" t="s">
        <v>46</v>
      </c>
      <c r="AI223" s="0" t="s">
        <v>46</v>
      </c>
      <c r="AJ223" s="0" t="s">
        <v>46</v>
      </c>
      <c r="AK223" s="0" t="s">
        <v>46</v>
      </c>
      <c r="AL223" s="0" t="s">
        <v>46</v>
      </c>
    </row>
    <row r="224" customFormat="false" ht="15" hidden="false" customHeight="false" outlineLevel="0" collapsed="false">
      <c r="B224" s="0" t="str">
        <f aca="false">HYPERLINK("https://genome.ucsc.edu/cgi-bin/hgTracks?db=hg19&amp;position=chr19%3A36302863%2D36302863", "chr19:36302863")</f>
        <v>chr19:36302863</v>
      </c>
      <c r="C224" s="0" t="s">
        <v>241</v>
      </c>
      <c r="D224" s="0" t="n">
        <v>36302863</v>
      </c>
      <c r="E224" s="0" t="n">
        <v>36302863</v>
      </c>
      <c r="F224" s="0" t="s">
        <v>40</v>
      </c>
      <c r="G224" s="0" t="s">
        <v>57</v>
      </c>
      <c r="H224" s="0" t="s">
        <v>1437</v>
      </c>
      <c r="I224" s="0" t="s">
        <v>847</v>
      </c>
      <c r="J224" s="0" t="s">
        <v>1438</v>
      </c>
      <c r="K224" s="0" t="s">
        <v>46</v>
      </c>
      <c r="L224" s="0" t="str">
        <f aca="false">HYPERLINK("https://www.ncbi.nlm.nih.gov/snp/rs201742362", "rs201742362")</f>
        <v>rs201742362</v>
      </c>
      <c r="M224" s="0" t="str">
        <f aca="false">HYPERLINK("https://www.genecards.org/Search/Keyword?queryString=%5Baliases%5D(%20PRODH2%20)&amp;keywords=PRODH2", "PRODH2")</f>
        <v>PRODH2</v>
      </c>
      <c r="N224" s="0" t="s">
        <v>602</v>
      </c>
      <c r="O224" s="0" t="s">
        <v>46</v>
      </c>
      <c r="P224" s="0" t="s">
        <v>1439</v>
      </c>
      <c r="Q224" s="0" t="n">
        <v>0.0063</v>
      </c>
      <c r="R224" s="0" t="n">
        <v>0.0009</v>
      </c>
      <c r="S224" s="0" t="n">
        <v>0.0009</v>
      </c>
      <c r="T224" s="0" t="n">
        <v>-1</v>
      </c>
      <c r="U224" s="0" t="n">
        <v>0.0016</v>
      </c>
      <c r="V224" s="0" t="s">
        <v>384</v>
      </c>
      <c r="W224" s="0" t="s">
        <v>47</v>
      </c>
      <c r="X224" s="0" t="s">
        <v>47</v>
      </c>
      <c r="Y224" s="0" t="s">
        <v>200</v>
      </c>
      <c r="Z224" s="0" t="s">
        <v>126</v>
      </c>
      <c r="AA224" s="0" t="s">
        <v>46</v>
      </c>
      <c r="AB224" s="0" t="s">
        <v>46</v>
      </c>
      <c r="AC224" s="0" t="s">
        <v>50</v>
      </c>
      <c r="AD224" s="0" t="s">
        <v>51</v>
      </c>
      <c r="AE224" s="0" t="s">
        <v>1440</v>
      </c>
      <c r="AF224" s="0" t="s">
        <v>1441</v>
      </c>
      <c r="AG224" s="0" t="s">
        <v>1442</v>
      </c>
      <c r="AH224" s="0" t="s">
        <v>46</v>
      </c>
      <c r="AI224" s="0" t="s">
        <v>46</v>
      </c>
      <c r="AJ224" s="0" t="s">
        <v>46</v>
      </c>
      <c r="AK224" s="0" t="s">
        <v>46</v>
      </c>
      <c r="AL224" s="0" t="s">
        <v>46</v>
      </c>
    </row>
    <row r="225" s="2" customFormat="true" ht="15" hidden="false" customHeight="false" outlineLevel="0" collapsed="false">
      <c r="B225" s="2" t="str">
        <f aca="false">HYPERLINK("https://genome.ucsc.edu/cgi-bin/hgTracks?db=hg19&amp;position=chr19%3A44740909%2D44740910", "chr19:44740909")</f>
        <v>chr19:44740909</v>
      </c>
      <c r="C225" s="2" t="s">
        <v>241</v>
      </c>
      <c r="D225" s="2" t="n">
        <v>44740909</v>
      </c>
      <c r="E225" s="2" t="n">
        <v>44740910</v>
      </c>
      <c r="F225" s="2" t="s">
        <v>1443</v>
      </c>
      <c r="G225" s="2" t="s">
        <v>185</v>
      </c>
      <c r="H225" s="2" t="s">
        <v>1444</v>
      </c>
      <c r="I225" s="2" t="s">
        <v>1445</v>
      </c>
      <c r="J225" s="2" t="s">
        <v>1446</v>
      </c>
      <c r="K225" s="2" t="s">
        <v>46</v>
      </c>
      <c r="L225" s="2" t="str">
        <f aca="false">HYPERLINK("https://www.ncbi.nlm.nih.gov/snp/rs751459697", "rs751459697")</f>
        <v>rs751459697</v>
      </c>
      <c r="M225" s="2" t="str">
        <f aca="false">HYPERLINK("https://www.genecards.org/Search/Keyword?queryString=%5Baliases%5D(%20ZNF227%20)&amp;keywords=ZNF227", "ZNF227")</f>
        <v>ZNF227</v>
      </c>
      <c r="N225" s="2" t="s">
        <v>62</v>
      </c>
      <c r="O225" s="2" t="s">
        <v>262</v>
      </c>
      <c r="P225" s="2" t="s">
        <v>1447</v>
      </c>
      <c r="Q225" s="2" t="n">
        <v>0.0013</v>
      </c>
      <c r="R225" s="2" t="n">
        <v>0.0013</v>
      </c>
      <c r="S225" s="2" t="n">
        <v>0.0013</v>
      </c>
      <c r="T225" s="2" t="n">
        <v>-1</v>
      </c>
      <c r="U225" s="2" t="n">
        <v>0.0011</v>
      </c>
      <c r="V225" s="2" t="s">
        <v>46</v>
      </c>
      <c r="W225" s="2" t="s">
        <v>46</v>
      </c>
      <c r="X225" s="2" t="s">
        <v>46</v>
      </c>
      <c r="Y225" s="2" t="s">
        <v>46</v>
      </c>
      <c r="Z225" s="2" t="s">
        <v>46</v>
      </c>
      <c r="AA225" s="2" t="s">
        <v>46</v>
      </c>
      <c r="AB225" s="2" t="s">
        <v>46</v>
      </c>
      <c r="AC225" s="2" t="s">
        <v>50</v>
      </c>
      <c r="AD225" s="2" t="s">
        <v>51</v>
      </c>
      <c r="AE225" s="2" t="s">
        <v>1448</v>
      </c>
      <c r="AF225" s="2" t="s">
        <v>1449</v>
      </c>
      <c r="AG225" s="2" t="s">
        <v>428</v>
      </c>
      <c r="AH225" s="2" t="s">
        <v>46</v>
      </c>
      <c r="AI225" s="2" t="s">
        <v>46</v>
      </c>
      <c r="AJ225" s="2" t="s">
        <v>46</v>
      </c>
      <c r="AK225" s="2" t="s">
        <v>46</v>
      </c>
      <c r="AL225" s="2" t="s">
        <v>46</v>
      </c>
    </row>
    <row r="226" customFormat="false" ht="15" hidden="false" customHeight="false" outlineLevel="0" collapsed="false">
      <c r="B226" s="0" t="str">
        <f aca="false">HYPERLINK("https://genome.ucsc.edu/cgi-bin/hgTracks?db=hg19&amp;position=chr19%3A46273490%2D46273507", "chr19:46273490")</f>
        <v>chr19:46273490</v>
      </c>
      <c r="C226" s="0" t="s">
        <v>241</v>
      </c>
      <c r="D226" s="0" t="n">
        <v>46273490</v>
      </c>
      <c r="E226" s="0" t="n">
        <v>46273507</v>
      </c>
      <c r="F226" s="0" t="s">
        <v>1450</v>
      </c>
      <c r="G226" s="0" t="s">
        <v>185</v>
      </c>
      <c r="H226" s="0" t="s">
        <v>1451</v>
      </c>
      <c r="I226" s="0" t="s">
        <v>251</v>
      </c>
      <c r="J226" s="0" t="s">
        <v>1452</v>
      </c>
      <c r="K226" s="0" t="s">
        <v>46</v>
      </c>
      <c r="L226" s="0" t="s">
        <v>46</v>
      </c>
      <c r="M226" s="0" t="str">
        <f aca="false">HYPERLINK("https://www.genecards.org/Search/Keyword?queryString=%5Baliases%5D(%20DM1-AS%20)%20OR%20%5Baliases%5D(%20DMPK%20)&amp;keywords=DM1-AS,DMPK", "DM1-AS;DMPK")</f>
        <v>DM1-AS;DMPK</v>
      </c>
      <c r="N226" s="0" t="s">
        <v>208</v>
      </c>
      <c r="O226" s="0" t="s">
        <v>46</v>
      </c>
      <c r="P226" s="0" t="s">
        <v>1453</v>
      </c>
      <c r="Q226" s="0" t="n">
        <v>-1</v>
      </c>
      <c r="R226" s="0" t="n">
        <v>-1</v>
      </c>
      <c r="S226" s="0" t="n">
        <v>-1</v>
      </c>
      <c r="T226" s="0" t="n">
        <v>-1</v>
      </c>
      <c r="U226" s="0" t="n">
        <v>-1</v>
      </c>
      <c r="V226" s="0" t="s">
        <v>46</v>
      </c>
      <c r="W226" s="0" t="s">
        <v>46</v>
      </c>
      <c r="X226" s="0" t="s">
        <v>46</v>
      </c>
      <c r="Y226" s="0" t="s">
        <v>46</v>
      </c>
      <c r="Z226" s="0" t="s">
        <v>46</v>
      </c>
      <c r="AA226" s="0" t="s">
        <v>46</v>
      </c>
      <c r="AB226" s="0" t="s">
        <v>46</v>
      </c>
      <c r="AC226" s="0" t="s">
        <v>254</v>
      </c>
      <c r="AD226" s="0" t="s">
        <v>191</v>
      </c>
      <c r="AE226" s="0" t="s">
        <v>1454</v>
      </c>
      <c r="AF226" s="0" t="s">
        <v>1455</v>
      </c>
      <c r="AG226" s="0" t="s">
        <v>1456</v>
      </c>
      <c r="AH226" s="0" t="s">
        <v>1457</v>
      </c>
      <c r="AI226" s="0" t="s">
        <v>571</v>
      </c>
      <c r="AJ226" s="0" t="s">
        <v>46</v>
      </c>
      <c r="AK226" s="0" t="s">
        <v>46</v>
      </c>
      <c r="AL226" s="0" t="s">
        <v>46</v>
      </c>
    </row>
    <row r="227" customFormat="false" ht="15" hidden="false" customHeight="false" outlineLevel="0" collapsed="false">
      <c r="B227" s="0" t="str">
        <f aca="false">HYPERLINK("https://genome.ucsc.edu/cgi-bin/hgTracks?db=hg19&amp;position=chr19%3A47572275%2D47572275", "chr19:47572275")</f>
        <v>chr19:47572275</v>
      </c>
      <c r="C227" s="0" t="s">
        <v>241</v>
      </c>
      <c r="D227" s="0" t="n">
        <v>47572275</v>
      </c>
      <c r="E227" s="0" t="n">
        <v>47572275</v>
      </c>
      <c r="F227" s="0" t="s">
        <v>39</v>
      </c>
      <c r="G227" s="0" t="s">
        <v>40</v>
      </c>
      <c r="H227" s="0" t="s">
        <v>1458</v>
      </c>
      <c r="I227" s="0" t="s">
        <v>133</v>
      </c>
      <c r="J227" s="0" t="s">
        <v>134</v>
      </c>
      <c r="K227" s="0" t="s">
        <v>46</v>
      </c>
      <c r="L227" s="0" t="str">
        <f aca="false">HYPERLINK("https://www.ncbi.nlm.nih.gov/snp/rs139816173", "rs139816173")</f>
        <v>rs139816173</v>
      </c>
      <c r="M227" s="0" t="str">
        <f aca="false">HYPERLINK("https://www.genecards.org/Search/Keyword?queryString=%5Baliases%5D(%20ZC3H4%20)&amp;keywords=ZC3H4", "ZC3H4")</f>
        <v>ZC3H4</v>
      </c>
      <c r="N227" s="0" t="s">
        <v>45</v>
      </c>
      <c r="O227" s="0" t="s">
        <v>46</v>
      </c>
      <c r="P227" s="0" t="s">
        <v>46</v>
      </c>
      <c r="Q227" s="0" t="n">
        <v>0.0291</v>
      </c>
      <c r="R227" s="0" t="n">
        <v>0.0248</v>
      </c>
      <c r="S227" s="0" t="n">
        <v>0.0254</v>
      </c>
      <c r="T227" s="0" t="n">
        <v>-1</v>
      </c>
      <c r="U227" s="0" t="n">
        <v>0.0207</v>
      </c>
      <c r="V227" s="0" t="s">
        <v>46</v>
      </c>
      <c r="W227" s="0" t="s">
        <v>46</v>
      </c>
      <c r="X227" s="0" t="s">
        <v>354</v>
      </c>
      <c r="Y227" s="0" t="s">
        <v>48</v>
      </c>
      <c r="Z227" s="0" t="s">
        <v>46</v>
      </c>
      <c r="AA227" s="0" t="s">
        <v>46</v>
      </c>
      <c r="AB227" s="0" t="s">
        <v>46</v>
      </c>
      <c r="AC227" s="0" t="s">
        <v>50</v>
      </c>
      <c r="AD227" s="0" t="s">
        <v>51</v>
      </c>
      <c r="AE227" s="0" t="s">
        <v>1459</v>
      </c>
      <c r="AF227" s="0" t="s">
        <v>1460</v>
      </c>
      <c r="AG227" s="0" t="s">
        <v>46</v>
      </c>
      <c r="AH227" s="0" t="s">
        <v>46</v>
      </c>
      <c r="AI227" s="0" t="s">
        <v>46</v>
      </c>
      <c r="AJ227" s="0" t="s">
        <v>46</v>
      </c>
      <c r="AK227" s="0" t="s">
        <v>46</v>
      </c>
      <c r="AL227" s="0" t="s">
        <v>46</v>
      </c>
    </row>
    <row r="228" customFormat="false" ht="15" hidden="false" customHeight="false" outlineLevel="0" collapsed="false">
      <c r="B228" s="0" t="str">
        <f aca="false">HYPERLINK("https://genome.ucsc.edu/cgi-bin/hgTracks?db=hg19&amp;position=chr19%3A49561267%2D49561267", "chr19:49561267")</f>
        <v>chr19:49561267</v>
      </c>
      <c r="C228" s="0" t="s">
        <v>241</v>
      </c>
      <c r="D228" s="0" t="n">
        <v>49561267</v>
      </c>
      <c r="E228" s="0" t="n">
        <v>49561267</v>
      </c>
      <c r="F228" s="0" t="s">
        <v>39</v>
      </c>
      <c r="G228" s="0" t="s">
        <v>57</v>
      </c>
      <c r="H228" s="0" t="s">
        <v>1461</v>
      </c>
      <c r="I228" s="0" t="s">
        <v>133</v>
      </c>
      <c r="J228" s="0" t="s">
        <v>1419</v>
      </c>
      <c r="K228" s="0" t="s">
        <v>46</v>
      </c>
      <c r="L228" s="0" t="str">
        <f aca="false">HYPERLINK("https://www.ncbi.nlm.nih.gov/snp/rs540203432", "rs540203432")</f>
        <v>rs540203432</v>
      </c>
      <c r="M228" s="0" t="str">
        <f aca="false">HYPERLINK("https://www.genecards.org/Search/Keyword?queryString=%5Baliases%5D(%20NTF4%20)&amp;keywords=NTF4", "NTF4")</f>
        <v>NTF4</v>
      </c>
      <c r="N228" s="0" t="s">
        <v>440</v>
      </c>
      <c r="O228" s="0" t="s">
        <v>76</v>
      </c>
      <c r="P228" s="0" t="s">
        <v>1462</v>
      </c>
      <c r="Q228" s="0" t="n">
        <v>0.0056</v>
      </c>
      <c r="R228" s="0" t="n">
        <v>0.0073</v>
      </c>
      <c r="S228" s="0" t="n">
        <v>0.0059</v>
      </c>
      <c r="T228" s="0" t="n">
        <v>-1</v>
      </c>
      <c r="U228" s="0" t="n">
        <v>0.0112</v>
      </c>
      <c r="V228" s="0" t="s">
        <v>46</v>
      </c>
      <c r="W228" s="0" t="s">
        <v>46</v>
      </c>
      <c r="X228" s="0" t="s">
        <v>46</v>
      </c>
      <c r="Y228" s="0" t="s">
        <v>46</v>
      </c>
      <c r="Z228" s="0" t="s">
        <v>46</v>
      </c>
      <c r="AA228" s="0" t="s">
        <v>46</v>
      </c>
      <c r="AB228" s="0" t="s">
        <v>46</v>
      </c>
      <c r="AC228" s="0" t="s">
        <v>50</v>
      </c>
      <c r="AD228" s="0" t="s">
        <v>51</v>
      </c>
      <c r="AE228" s="0" t="s">
        <v>1463</v>
      </c>
      <c r="AF228" s="0" t="s">
        <v>1464</v>
      </c>
      <c r="AG228" s="0" t="s">
        <v>1465</v>
      </c>
      <c r="AH228" s="0" t="s">
        <v>46</v>
      </c>
      <c r="AI228" s="0" t="s">
        <v>46</v>
      </c>
      <c r="AJ228" s="0" t="s">
        <v>46</v>
      </c>
      <c r="AK228" s="0" t="s">
        <v>46</v>
      </c>
      <c r="AL228" s="0" t="s">
        <v>46</v>
      </c>
    </row>
    <row r="229" customFormat="false" ht="15" hidden="false" customHeight="false" outlineLevel="0" collapsed="false">
      <c r="B229" s="0" t="str">
        <f aca="false">HYPERLINK("https://genome.ucsc.edu/cgi-bin/hgTracks?db=hg19&amp;position=chr19%3A52580401%2D52580401", "chr19:52580401")</f>
        <v>chr19:52580401</v>
      </c>
      <c r="C229" s="0" t="s">
        <v>241</v>
      </c>
      <c r="D229" s="0" t="n">
        <v>52580401</v>
      </c>
      <c r="E229" s="0" t="n">
        <v>52580401</v>
      </c>
      <c r="F229" s="0" t="s">
        <v>57</v>
      </c>
      <c r="G229" s="0" t="s">
        <v>82</v>
      </c>
      <c r="H229" s="0" t="s">
        <v>1466</v>
      </c>
      <c r="I229" s="0" t="s">
        <v>1467</v>
      </c>
      <c r="J229" s="0" t="s">
        <v>1468</v>
      </c>
      <c r="K229" s="0" t="s">
        <v>46</v>
      </c>
      <c r="L229" s="0" t="str">
        <f aca="false">HYPERLINK("https://www.ncbi.nlm.nih.gov/snp/rs183415827", "rs183415827")</f>
        <v>rs183415827</v>
      </c>
      <c r="M229" s="0" t="str">
        <f aca="false">HYPERLINK("https://www.genecards.org/Search/Keyword?queryString=%5Baliases%5D(%20ZNF841%20)&amp;keywords=ZNF841", "ZNF841")</f>
        <v>ZNF841</v>
      </c>
      <c r="N229" s="0" t="s">
        <v>45</v>
      </c>
      <c r="O229" s="0" t="s">
        <v>46</v>
      </c>
      <c r="P229" s="0" t="s">
        <v>46</v>
      </c>
      <c r="Q229" s="0" t="n">
        <v>0.0069</v>
      </c>
      <c r="R229" s="0" t="n">
        <v>0.005</v>
      </c>
      <c r="S229" s="0" t="n">
        <v>0.0042</v>
      </c>
      <c r="T229" s="0" t="n">
        <v>-1</v>
      </c>
      <c r="U229" s="0" t="n">
        <v>0.0071</v>
      </c>
      <c r="V229" s="0" t="s">
        <v>46</v>
      </c>
      <c r="W229" s="0" t="s">
        <v>46</v>
      </c>
      <c r="X229" s="0" t="s">
        <v>47</v>
      </c>
      <c r="Y229" s="0" t="s">
        <v>48</v>
      </c>
      <c r="Z229" s="0" t="s">
        <v>46</v>
      </c>
      <c r="AA229" s="0" t="s">
        <v>46</v>
      </c>
      <c r="AB229" s="0" t="s">
        <v>46</v>
      </c>
      <c r="AC229" s="0" t="s">
        <v>50</v>
      </c>
      <c r="AD229" s="0" t="s">
        <v>51</v>
      </c>
      <c r="AE229" s="0" t="s">
        <v>1469</v>
      </c>
      <c r="AF229" s="0" t="s">
        <v>1470</v>
      </c>
      <c r="AG229" s="0" t="s">
        <v>1471</v>
      </c>
      <c r="AH229" s="0" t="s">
        <v>46</v>
      </c>
      <c r="AI229" s="0" t="s">
        <v>46</v>
      </c>
      <c r="AJ229" s="0" t="s">
        <v>46</v>
      </c>
      <c r="AK229" s="0" t="s">
        <v>46</v>
      </c>
      <c r="AL229" s="0" t="s">
        <v>46</v>
      </c>
    </row>
    <row r="230" customFormat="false" ht="15" hidden="false" customHeight="false" outlineLevel="0" collapsed="false">
      <c r="B230" s="0" t="str">
        <f aca="false">HYPERLINK("https://genome.ucsc.edu/cgi-bin/hgTracks?db=hg19&amp;position=chr19%3A53014913%2D53014913", "chr19:53014913")</f>
        <v>chr19:53014913</v>
      </c>
      <c r="C230" s="0" t="s">
        <v>241</v>
      </c>
      <c r="D230" s="0" t="n">
        <v>53014913</v>
      </c>
      <c r="E230" s="0" t="n">
        <v>53014913</v>
      </c>
      <c r="F230" s="0" t="s">
        <v>185</v>
      </c>
      <c r="G230" s="0" t="s">
        <v>57</v>
      </c>
      <c r="H230" s="0" t="s">
        <v>1472</v>
      </c>
      <c r="I230" s="0" t="s">
        <v>903</v>
      </c>
      <c r="J230" s="0" t="s">
        <v>1473</v>
      </c>
      <c r="K230" s="0" t="s">
        <v>46</v>
      </c>
      <c r="L230" s="0" t="str">
        <f aca="false">HYPERLINK("https://www.ncbi.nlm.nih.gov/snp/rs745502620", "rs745502620")</f>
        <v>rs745502620</v>
      </c>
      <c r="M230" s="0" t="str">
        <f aca="false">HYPERLINK("https://www.genecards.org/Search/Keyword?queryString=%5Baliases%5D(%20ZNF578%20)&amp;keywords=ZNF578", "ZNF578")</f>
        <v>ZNF578</v>
      </c>
      <c r="N230" s="0" t="s">
        <v>62</v>
      </c>
      <c r="O230" s="0" t="s">
        <v>76</v>
      </c>
      <c r="P230" s="0" t="s">
        <v>1474</v>
      </c>
      <c r="Q230" s="0" t="n">
        <v>5.17E-005</v>
      </c>
      <c r="R230" s="0" t="n">
        <v>-1</v>
      </c>
      <c r="S230" s="0" t="n">
        <v>-1</v>
      </c>
      <c r="T230" s="0" t="n">
        <v>-1</v>
      </c>
      <c r="U230" s="0" t="n">
        <v>-1</v>
      </c>
      <c r="V230" s="0" t="s">
        <v>46</v>
      </c>
      <c r="W230" s="0" t="s">
        <v>46</v>
      </c>
      <c r="X230" s="0" t="s">
        <v>46</v>
      </c>
      <c r="Y230" s="0" t="s">
        <v>46</v>
      </c>
      <c r="Z230" s="0" t="s">
        <v>46</v>
      </c>
      <c r="AA230" s="0" t="s">
        <v>46</v>
      </c>
      <c r="AB230" s="0" t="s">
        <v>46</v>
      </c>
      <c r="AC230" s="0" t="s">
        <v>50</v>
      </c>
      <c r="AD230" s="0" t="s">
        <v>51</v>
      </c>
      <c r="AE230" s="0" t="s">
        <v>1475</v>
      </c>
      <c r="AF230" s="0" t="s">
        <v>1476</v>
      </c>
      <c r="AG230" s="0" t="s">
        <v>428</v>
      </c>
      <c r="AH230" s="0" t="s">
        <v>46</v>
      </c>
      <c r="AI230" s="0" t="s">
        <v>46</v>
      </c>
      <c r="AJ230" s="0" t="s">
        <v>46</v>
      </c>
      <c r="AK230" s="0" t="s">
        <v>46</v>
      </c>
      <c r="AL230" s="0" t="s">
        <v>46</v>
      </c>
    </row>
    <row r="231" customFormat="false" ht="15" hidden="false" customHeight="false" outlineLevel="0" collapsed="false">
      <c r="B231" s="0" t="str">
        <f aca="false">HYPERLINK("https://genome.ucsc.edu/cgi-bin/hgTracks?db=hg19&amp;position=chr19%3A54698081%2D54698082", "chr19:54698081")</f>
        <v>chr19:54698081</v>
      </c>
      <c r="C231" s="0" t="s">
        <v>241</v>
      </c>
      <c r="D231" s="0" t="n">
        <v>54698081</v>
      </c>
      <c r="E231" s="0" t="n">
        <v>54698082</v>
      </c>
      <c r="F231" s="0" t="s">
        <v>1016</v>
      </c>
      <c r="G231" s="0" t="s">
        <v>185</v>
      </c>
      <c r="H231" s="0" t="s">
        <v>1477</v>
      </c>
      <c r="I231" s="0" t="s">
        <v>589</v>
      </c>
      <c r="J231" s="0" t="s">
        <v>1478</v>
      </c>
      <c r="K231" s="0" t="s">
        <v>46</v>
      </c>
      <c r="L231" s="0" t="str">
        <f aca="false">HYPERLINK("https://www.ncbi.nlm.nih.gov/snp/rs139312527", "rs139312527")</f>
        <v>rs139312527</v>
      </c>
      <c r="M231" s="0" t="str">
        <f aca="false">HYPERLINK("https://www.genecards.org/Search/Keyword?queryString=%5Baliases%5D(%20TSEN34%20)&amp;keywords=TSEN34", "TSEN34")</f>
        <v>TSEN34</v>
      </c>
      <c r="N231" s="0" t="s">
        <v>189</v>
      </c>
      <c r="O231" s="0" t="s">
        <v>46</v>
      </c>
      <c r="P231" s="0" t="s">
        <v>1479</v>
      </c>
      <c r="Q231" s="0" t="n">
        <v>0.013255</v>
      </c>
      <c r="R231" s="0" t="n">
        <v>0.0066</v>
      </c>
      <c r="S231" s="0" t="n">
        <v>0.0022</v>
      </c>
      <c r="T231" s="0" t="n">
        <v>-1</v>
      </c>
      <c r="U231" s="0" t="n">
        <v>0.0071</v>
      </c>
      <c r="V231" s="0" t="s">
        <v>46</v>
      </c>
      <c r="W231" s="0" t="s">
        <v>46</v>
      </c>
      <c r="X231" s="0" t="s">
        <v>46</v>
      </c>
      <c r="Y231" s="0" t="s">
        <v>46</v>
      </c>
      <c r="Z231" s="0" t="s">
        <v>46</v>
      </c>
      <c r="AA231" s="0" t="s">
        <v>46</v>
      </c>
      <c r="AB231" s="0" t="s">
        <v>46</v>
      </c>
      <c r="AC231" s="0" t="s">
        <v>50</v>
      </c>
      <c r="AD231" s="0" t="s">
        <v>147</v>
      </c>
      <c r="AE231" s="0" t="s">
        <v>245</v>
      </c>
      <c r="AF231" s="0" t="s">
        <v>246</v>
      </c>
      <c r="AG231" s="0" t="s">
        <v>247</v>
      </c>
      <c r="AH231" s="0" t="s">
        <v>248</v>
      </c>
      <c r="AI231" s="0" t="s">
        <v>46</v>
      </c>
      <c r="AJ231" s="0" t="s">
        <v>46</v>
      </c>
      <c r="AK231" s="0" t="s">
        <v>46</v>
      </c>
      <c r="AL231" s="0" t="s">
        <v>46</v>
      </c>
    </row>
    <row r="232" customFormat="false" ht="15" hidden="false" customHeight="false" outlineLevel="0" collapsed="false">
      <c r="B232" s="0" t="str">
        <f aca="false">HYPERLINK("https://genome.ucsc.edu/cgi-bin/hgTracks?db=hg19&amp;position=chr19%3A55286773%2D55286774", "chr19:55286773")</f>
        <v>chr19:55286773</v>
      </c>
      <c r="C232" s="0" t="s">
        <v>241</v>
      </c>
      <c r="D232" s="0" t="n">
        <v>55286773</v>
      </c>
      <c r="E232" s="0" t="n">
        <v>55286774</v>
      </c>
      <c r="F232" s="0" t="s">
        <v>1480</v>
      </c>
      <c r="G232" s="0" t="s">
        <v>185</v>
      </c>
      <c r="H232" s="0" t="s">
        <v>1481</v>
      </c>
      <c r="I232" s="0" t="s">
        <v>1482</v>
      </c>
      <c r="J232" s="0" t="s">
        <v>1483</v>
      </c>
      <c r="K232" s="0" t="s">
        <v>46</v>
      </c>
      <c r="L232" s="0" t="str">
        <f aca="false">HYPERLINK("https://www.ncbi.nlm.nih.gov/snp/rs767604061", "rs767604061")</f>
        <v>rs767604061</v>
      </c>
      <c r="M232" s="0" t="str">
        <f aca="false">HYPERLINK("https://www.genecards.org/Search/Keyword?queryString=%5Baliases%5D(%20KIR2DL1%20)%20OR%20%5Baliases%5D(%20KIR2DL3%20)%20OR%20%5Baliases%5D(%20LOC112267881%20)&amp;keywords=KIR2DL1,KIR2DL3,LOC112267881", "KIR2DL1;KIR2DL3;LOC112267881")</f>
        <v>KIR2DL1;KIR2DL3;LOC112267881</v>
      </c>
      <c r="N232" s="0" t="s">
        <v>62</v>
      </c>
      <c r="O232" s="0" t="s">
        <v>262</v>
      </c>
      <c r="P232" s="0" t="s">
        <v>1484</v>
      </c>
      <c r="Q232" s="0" t="n">
        <v>0.0107</v>
      </c>
      <c r="R232" s="0" t="n">
        <v>0.0021</v>
      </c>
      <c r="S232" s="0" t="n">
        <v>0.002</v>
      </c>
      <c r="T232" s="0" t="n">
        <v>-1</v>
      </c>
      <c r="U232" s="0" t="n">
        <v>0.0046</v>
      </c>
      <c r="V232" s="0" t="s">
        <v>46</v>
      </c>
      <c r="W232" s="0" t="s">
        <v>46</v>
      </c>
      <c r="X232" s="0" t="s">
        <v>46</v>
      </c>
      <c r="Y232" s="0" t="s">
        <v>46</v>
      </c>
      <c r="Z232" s="0" t="s">
        <v>46</v>
      </c>
      <c r="AA232" s="0" t="s">
        <v>46</v>
      </c>
      <c r="AB232" s="0" t="s">
        <v>46</v>
      </c>
      <c r="AC232" s="0" t="s">
        <v>50</v>
      </c>
      <c r="AD232" s="0" t="s">
        <v>1485</v>
      </c>
      <c r="AE232" s="0" t="s">
        <v>1486</v>
      </c>
      <c r="AF232" s="0" t="s">
        <v>1487</v>
      </c>
      <c r="AG232" s="0" t="s">
        <v>1488</v>
      </c>
      <c r="AH232" s="0" t="s">
        <v>46</v>
      </c>
      <c r="AI232" s="0" t="s">
        <v>46</v>
      </c>
      <c r="AJ232" s="0" t="s">
        <v>46</v>
      </c>
      <c r="AK232" s="0" t="s">
        <v>46</v>
      </c>
      <c r="AL232" s="0" t="s">
        <v>182</v>
      </c>
    </row>
    <row r="233" customFormat="false" ht="15" hidden="false" customHeight="false" outlineLevel="0" collapsed="false">
      <c r="B233" s="0" t="str">
        <f aca="false">HYPERLINK("https://genome.ucsc.edu/cgi-bin/hgTracks?db=hg19&amp;position=chr19%3A55286775%2D55286775", "chr19:55286775")</f>
        <v>chr19:55286775</v>
      </c>
      <c r="C233" s="0" t="s">
        <v>241</v>
      </c>
      <c r="D233" s="0" t="n">
        <v>55286775</v>
      </c>
      <c r="E233" s="0" t="n">
        <v>55286775</v>
      </c>
      <c r="F233" s="0" t="s">
        <v>185</v>
      </c>
      <c r="G233" s="0" t="s">
        <v>1489</v>
      </c>
      <c r="H233" s="0" t="s">
        <v>1490</v>
      </c>
      <c r="I233" s="0" t="s">
        <v>1491</v>
      </c>
      <c r="J233" s="0" t="s">
        <v>1492</v>
      </c>
      <c r="K233" s="0" t="s">
        <v>46</v>
      </c>
      <c r="L233" s="0" t="str">
        <f aca="false">HYPERLINK("https://www.ncbi.nlm.nih.gov/snp/rs750502059", "rs750502059")</f>
        <v>rs750502059</v>
      </c>
      <c r="M233" s="0" t="str">
        <f aca="false">HYPERLINK("https://www.genecards.org/Search/Keyword?queryString=%5Baliases%5D(%20KIR2DL1%20)%20OR%20%5Baliases%5D(%20KIR2DL3%20)%20OR%20%5Baliases%5D(%20LOC112267881%20)&amp;keywords=KIR2DL1,KIR2DL3,LOC112267881", "KIR2DL1;KIR2DL3;LOC112267881")</f>
        <v>KIR2DL1;KIR2DL3;LOC112267881</v>
      </c>
      <c r="N233" s="0" t="s">
        <v>62</v>
      </c>
      <c r="O233" s="0" t="s">
        <v>273</v>
      </c>
      <c r="P233" s="0" t="s">
        <v>1493</v>
      </c>
      <c r="Q233" s="0" t="n">
        <v>0.0106</v>
      </c>
      <c r="R233" s="0" t="n">
        <v>0.0029</v>
      </c>
      <c r="S233" s="0" t="n">
        <v>0.0041</v>
      </c>
      <c r="T233" s="0" t="n">
        <v>-1</v>
      </c>
      <c r="U233" s="0" t="n">
        <v>0.0047</v>
      </c>
      <c r="V233" s="0" t="s">
        <v>46</v>
      </c>
      <c r="W233" s="0" t="s">
        <v>46</v>
      </c>
      <c r="X233" s="0" t="s">
        <v>46</v>
      </c>
      <c r="Y233" s="0" t="s">
        <v>46</v>
      </c>
      <c r="Z233" s="0" t="s">
        <v>46</v>
      </c>
      <c r="AA233" s="0" t="s">
        <v>46</v>
      </c>
      <c r="AB233" s="0" t="s">
        <v>46</v>
      </c>
      <c r="AC233" s="0" t="s">
        <v>50</v>
      </c>
      <c r="AD233" s="0" t="s">
        <v>1485</v>
      </c>
      <c r="AE233" s="0" t="s">
        <v>1486</v>
      </c>
      <c r="AF233" s="0" t="s">
        <v>1487</v>
      </c>
      <c r="AG233" s="0" t="s">
        <v>1488</v>
      </c>
      <c r="AH233" s="0" t="s">
        <v>46</v>
      </c>
      <c r="AI233" s="0" t="s">
        <v>46</v>
      </c>
      <c r="AJ233" s="0" t="s">
        <v>46</v>
      </c>
      <c r="AK233" s="0" t="s">
        <v>46</v>
      </c>
      <c r="AL233" s="0" t="s">
        <v>182</v>
      </c>
    </row>
    <row r="234" customFormat="false" ht="15" hidden="false" customHeight="false" outlineLevel="0" collapsed="false">
      <c r="B234" s="0" t="str">
        <f aca="false">HYPERLINK("https://genome.ucsc.edu/cgi-bin/hgTracks?db=hg19&amp;position=chr19%3A55324674%2D55324674", "chr19:55324674")</f>
        <v>chr19:55324674</v>
      </c>
      <c r="C234" s="0" t="s">
        <v>241</v>
      </c>
      <c r="D234" s="0" t="n">
        <v>55324674</v>
      </c>
      <c r="E234" s="0" t="n">
        <v>55324674</v>
      </c>
      <c r="F234" s="0" t="s">
        <v>185</v>
      </c>
      <c r="G234" s="0" t="s">
        <v>57</v>
      </c>
      <c r="H234" s="0" t="s">
        <v>1494</v>
      </c>
      <c r="I234" s="0" t="s">
        <v>1495</v>
      </c>
      <c r="J234" s="0" t="s">
        <v>1496</v>
      </c>
      <c r="K234" s="0" t="s">
        <v>46</v>
      </c>
      <c r="L234" s="0" t="str">
        <f aca="false">HYPERLINK("https://www.ncbi.nlm.nih.gov/snp/rs11371265", "rs11371265")</f>
        <v>rs11371265</v>
      </c>
      <c r="M234" s="0" t="str">
        <f aca="false">HYPERLINK("https://www.genecards.org/Search/Keyword?queryString=%5Baliases%5D(%20KIR2DL4%20)%20OR%20%5Baliases%5D(%20LOC100287534%20)%20OR%20%5Baliases%5D(%20LOC112268354%20)&amp;keywords=KIR2DL4,LOC100287534,LOC112268354", "KIR2DL4;LOC100287534;LOC112268354")</f>
        <v>KIR2DL4;LOC100287534;LOC112268354</v>
      </c>
      <c r="N234" s="0" t="s">
        <v>62</v>
      </c>
      <c r="O234" s="0" t="s">
        <v>273</v>
      </c>
      <c r="P234" s="0" t="s">
        <v>1497</v>
      </c>
      <c r="Q234" s="0" t="n">
        <v>0.0044825</v>
      </c>
      <c r="R234" s="0" t="n">
        <v>-1</v>
      </c>
      <c r="S234" s="0" t="n">
        <v>-1</v>
      </c>
      <c r="T234" s="0" t="n">
        <v>-1</v>
      </c>
      <c r="U234" s="0" t="n">
        <v>-1</v>
      </c>
      <c r="V234" s="0" t="s">
        <v>46</v>
      </c>
      <c r="W234" s="0" t="s">
        <v>46</v>
      </c>
      <c r="X234" s="0" t="s">
        <v>46</v>
      </c>
      <c r="Y234" s="0" t="s">
        <v>46</v>
      </c>
      <c r="Z234" s="0" t="s">
        <v>46</v>
      </c>
      <c r="AA234" s="0" t="s">
        <v>46</v>
      </c>
      <c r="AB234" s="0" t="s">
        <v>46</v>
      </c>
      <c r="AC234" s="0" t="s">
        <v>219</v>
      </c>
      <c r="AD234" s="0" t="s">
        <v>548</v>
      </c>
      <c r="AE234" s="0" t="s">
        <v>1498</v>
      </c>
      <c r="AF234" s="0" t="s">
        <v>1499</v>
      </c>
      <c r="AG234" s="0" t="s">
        <v>1500</v>
      </c>
      <c r="AH234" s="0" t="s">
        <v>46</v>
      </c>
      <c r="AI234" s="0" t="s">
        <v>46</v>
      </c>
      <c r="AJ234" s="0" t="s">
        <v>46</v>
      </c>
      <c r="AK234" s="0" t="s">
        <v>46</v>
      </c>
      <c r="AL234" s="0" t="s">
        <v>182</v>
      </c>
    </row>
    <row r="235" customFormat="false" ht="15" hidden="false" customHeight="false" outlineLevel="0" collapsed="false">
      <c r="B235" s="0" t="str">
        <f aca="false">HYPERLINK("https://genome.ucsc.edu/cgi-bin/hgTracks?db=hg19&amp;position=chr19%3A56694472%2D56694472", "chr19:56694472")</f>
        <v>chr19:56694472</v>
      </c>
      <c r="C235" s="0" t="s">
        <v>241</v>
      </c>
      <c r="D235" s="0" t="n">
        <v>56694472</v>
      </c>
      <c r="E235" s="0" t="n">
        <v>56694472</v>
      </c>
      <c r="F235" s="0" t="s">
        <v>40</v>
      </c>
      <c r="G235" s="0" t="s">
        <v>39</v>
      </c>
      <c r="H235" s="0" t="s">
        <v>1501</v>
      </c>
      <c r="I235" s="0" t="s">
        <v>73</v>
      </c>
      <c r="J235" s="0" t="s">
        <v>1502</v>
      </c>
      <c r="K235" s="0" t="s">
        <v>46</v>
      </c>
      <c r="L235" s="0" t="str">
        <f aca="false">HYPERLINK("https://www.ncbi.nlm.nih.gov/snp/rs138776948", "rs138776948")</f>
        <v>rs138776948</v>
      </c>
      <c r="M235" s="0" t="str">
        <f aca="false">HYPERLINK("https://www.genecards.org/Search/Keyword?queryString=%5Baliases%5D(%20GALP%20)&amp;keywords=GALP", "GALP")</f>
        <v>GALP</v>
      </c>
      <c r="N235" s="0" t="s">
        <v>45</v>
      </c>
      <c r="O235" s="0" t="s">
        <v>46</v>
      </c>
      <c r="P235" s="0" t="s">
        <v>46</v>
      </c>
      <c r="Q235" s="0" t="n">
        <v>0.002</v>
      </c>
      <c r="R235" s="0" t="n">
        <v>0.0005</v>
      </c>
      <c r="S235" s="0" t="n">
        <v>0.0009</v>
      </c>
      <c r="T235" s="0" t="n">
        <v>-1</v>
      </c>
      <c r="U235" s="0" t="n">
        <v>0.0012</v>
      </c>
      <c r="V235" s="0" t="s">
        <v>46</v>
      </c>
      <c r="W235" s="0" t="s">
        <v>46</v>
      </c>
      <c r="X235" s="0" t="s">
        <v>354</v>
      </c>
      <c r="Y235" s="0" t="s">
        <v>48</v>
      </c>
      <c r="Z235" s="0" t="s">
        <v>46</v>
      </c>
      <c r="AA235" s="0" t="s">
        <v>46</v>
      </c>
      <c r="AB235" s="0" t="s">
        <v>46</v>
      </c>
      <c r="AC235" s="0" t="s">
        <v>50</v>
      </c>
      <c r="AD235" s="0" t="s">
        <v>51</v>
      </c>
      <c r="AE235" s="0" t="s">
        <v>1503</v>
      </c>
      <c r="AF235" s="0" t="s">
        <v>1504</v>
      </c>
      <c r="AG235" s="0" t="s">
        <v>1505</v>
      </c>
      <c r="AH235" s="0" t="s">
        <v>46</v>
      </c>
      <c r="AI235" s="0" t="s">
        <v>46</v>
      </c>
      <c r="AJ235" s="0" t="s">
        <v>46</v>
      </c>
      <c r="AK235" s="0" t="s">
        <v>46</v>
      </c>
      <c r="AL235" s="0" t="s">
        <v>46</v>
      </c>
    </row>
    <row r="236" customFormat="false" ht="15" hidden="false" customHeight="false" outlineLevel="0" collapsed="false">
      <c r="B236" s="0" t="str">
        <f aca="false">HYPERLINK("https://genome.ucsc.edu/cgi-bin/hgTracks?db=hg19&amp;position=chr2%3A9552383%2D9552383", "chr2:9552383")</f>
        <v>chr2:9552383</v>
      </c>
      <c r="C236" s="0" t="s">
        <v>71</v>
      </c>
      <c r="D236" s="0" t="n">
        <v>9552383</v>
      </c>
      <c r="E236" s="0" t="n">
        <v>9552383</v>
      </c>
      <c r="F236" s="0" t="s">
        <v>185</v>
      </c>
      <c r="G236" s="0" t="s">
        <v>711</v>
      </c>
      <c r="H236" s="0" t="s">
        <v>1506</v>
      </c>
      <c r="I236" s="0" t="s">
        <v>234</v>
      </c>
      <c r="J236" s="0" t="s">
        <v>1507</v>
      </c>
      <c r="K236" s="0" t="s">
        <v>46</v>
      </c>
      <c r="L236" s="0" t="str">
        <f aca="false">HYPERLINK("https://www.ncbi.nlm.nih.gov/snp/rs112462761", "rs112462761")</f>
        <v>rs112462761</v>
      </c>
      <c r="M236" s="0" t="str">
        <f aca="false">HYPERLINK("https://www.genecards.org/Search/Keyword?queryString=%5Baliases%5D(%20ITGB1BP1%20)&amp;keywords=ITGB1BP1", "ITGB1BP1")</f>
        <v>ITGB1BP1</v>
      </c>
      <c r="N236" s="0" t="s">
        <v>280</v>
      </c>
      <c r="O236" s="0" t="s">
        <v>273</v>
      </c>
      <c r="P236" s="0" t="s">
        <v>1508</v>
      </c>
      <c r="Q236" s="0" t="n">
        <v>0.0073</v>
      </c>
      <c r="R236" s="0" t="n">
        <v>0.0002</v>
      </c>
      <c r="S236" s="0" t="n">
        <v>0.0003</v>
      </c>
      <c r="T236" s="0" t="n">
        <v>-1</v>
      </c>
      <c r="U236" s="0" t="n">
        <v>0.0004</v>
      </c>
      <c r="V236" s="0" t="s">
        <v>46</v>
      </c>
      <c r="W236" s="0" t="s">
        <v>46</v>
      </c>
      <c r="X236" s="0" t="s">
        <v>46</v>
      </c>
      <c r="Y236" s="0" t="s">
        <v>46</v>
      </c>
      <c r="Z236" s="0" t="s">
        <v>46</v>
      </c>
      <c r="AA236" s="0" t="s">
        <v>46</v>
      </c>
      <c r="AB236" s="0" t="s">
        <v>46</v>
      </c>
      <c r="AC236" s="0" t="s">
        <v>254</v>
      </c>
      <c r="AD236" s="0" t="s">
        <v>51</v>
      </c>
      <c r="AE236" s="0" t="s">
        <v>1509</v>
      </c>
      <c r="AF236" s="0" t="s">
        <v>1510</v>
      </c>
      <c r="AG236" s="0" t="s">
        <v>1511</v>
      </c>
      <c r="AH236" s="0" t="s">
        <v>46</v>
      </c>
      <c r="AI236" s="0" t="s">
        <v>46</v>
      </c>
      <c r="AJ236" s="0" t="s">
        <v>46</v>
      </c>
      <c r="AK236" s="0" t="s">
        <v>46</v>
      </c>
      <c r="AL236" s="0" t="s">
        <v>46</v>
      </c>
    </row>
    <row r="237" customFormat="false" ht="15" hidden="false" customHeight="false" outlineLevel="0" collapsed="false">
      <c r="B237" s="0" t="str">
        <f aca="false">HYPERLINK("https://genome.ucsc.edu/cgi-bin/hgTracks?db=hg19&amp;position=chr2%3A71062765%2D71062765", "chr2:71062765")</f>
        <v>chr2:71062765</v>
      </c>
      <c r="C237" s="0" t="s">
        <v>71</v>
      </c>
      <c r="D237" s="0" t="n">
        <v>71062765</v>
      </c>
      <c r="E237" s="0" t="n">
        <v>71062765</v>
      </c>
      <c r="F237" s="0" t="s">
        <v>82</v>
      </c>
      <c r="G237" s="0" t="s">
        <v>40</v>
      </c>
      <c r="H237" s="0" t="s">
        <v>1512</v>
      </c>
      <c r="I237" s="0" t="s">
        <v>1513</v>
      </c>
      <c r="J237" s="0" t="s">
        <v>1514</v>
      </c>
      <c r="K237" s="0" t="s">
        <v>46</v>
      </c>
      <c r="L237" s="0" t="str">
        <f aca="false">HYPERLINK("https://www.ncbi.nlm.nih.gov/snp/rs115495142", "rs115495142")</f>
        <v>rs115495142</v>
      </c>
      <c r="M237" s="0" t="str">
        <f aca="false">HYPERLINK("https://www.genecards.org/Search/Keyword?queryString=%5Baliases%5D(%20CD207%20)&amp;keywords=CD207", "CD207")</f>
        <v>CD207</v>
      </c>
      <c r="N237" s="0" t="s">
        <v>45</v>
      </c>
      <c r="O237" s="0" t="s">
        <v>46</v>
      </c>
      <c r="P237" s="0" t="s">
        <v>46</v>
      </c>
      <c r="Q237" s="0" t="n">
        <v>0.0276</v>
      </c>
      <c r="R237" s="0" t="n">
        <v>0.0157</v>
      </c>
      <c r="S237" s="0" t="n">
        <v>0.0162</v>
      </c>
      <c r="T237" s="0" t="n">
        <v>-1</v>
      </c>
      <c r="U237" s="0" t="n">
        <v>0.0172</v>
      </c>
      <c r="V237" s="0" t="s">
        <v>46</v>
      </c>
      <c r="W237" s="0" t="s">
        <v>46</v>
      </c>
      <c r="X237" s="0" t="s">
        <v>354</v>
      </c>
      <c r="Y237" s="0" t="s">
        <v>48</v>
      </c>
      <c r="Z237" s="0" t="s">
        <v>46</v>
      </c>
      <c r="AA237" s="0" t="s">
        <v>46</v>
      </c>
      <c r="AB237" s="0" t="s">
        <v>46</v>
      </c>
      <c r="AC237" s="0" t="s">
        <v>50</v>
      </c>
      <c r="AD237" s="0" t="s">
        <v>51</v>
      </c>
      <c r="AE237" s="0" t="s">
        <v>1515</v>
      </c>
      <c r="AF237" s="0" t="s">
        <v>1516</v>
      </c>
      <c r="AG237" s="0" t="s">
        <v>1517</v>
      </c>
      <c r="AH237" s="0" t="s">
        <v>1518</v>
      </c>
      <c r="AI237" s="0" t="s">
        <v>46</v>
      </c>
      <c r="AJ237" s="0" t="s">
        <v>46</v>
      </c>
      <c r="AK237" s="0" t="s">
        <v>46</v>
      </c>
      <c r="AL237" s="0" t="s">
        <v>46</v>
      </c>
    </row>
    <row r="238" customFormat="false" ht="15" hidden="false" customHeight="false" outlineLevel="0" collapsed="false">
      <c r="B238" s="0" t="str">
        <f aca="false">HYPERLINK("https://genome.ucsc.edu/cgi-bin/hgTracks?db=hg19&amp;position=chr2%3A74542048%2D74542048", "chr2:74542048")</f>
        <v>chr2:74542048</v>
      </c>
      <c r="C238" s="0" t="s">
        <v>71</v>
      </c>
      <c r="D238" s="0" t="n">
        <v>74542048</v>
      </c>
      <c r="E238" s="0" t="n">
        <v>74542048</v>
      </c>
      <c r="F238" s="0" t="s">
        <v>57</v>
      </c>
      <c r="G238" s="0" t="s">
        <v>40</v>
      </c>
      <c r="H238" s="0" t="s">
        <v>1519</v>
      </c>
      <c r="I238" s="0" t="s">
        <v>198</v>
      </c>
      <c r="J238" s="0" t="s">
        <v>1520</v>
      </c>
      <c r="K238" s="0" t="s">
        <v>46</v>
      </c>
      <c r="L238" s="0" t="str">
        <f aca="false">HYPERLINK("https://www.ncbi.nlm.nih.gov/snp/rs114314465", "rs114314465")</f>
        <v>rs114314465</v>
      </c>
      <c r="M238" s="0" t="str">
        <f aca="false">HYPERLINK("https://www.genecards.org/Search/Keyword?queryString=%5Baliases%5D(%20SLC4A5%20)&amp;keywords=SLC4A5", "SLC4A5")</f>
        <v>SLC4A5</v>
      </c>
      <c r="N238" s="0" t="s">
        <v>45</v>
      </c>
      <c r="O238" s="0" t="s">
        <v>46</v>
      </c>
      <c r="P238" s="0" t="s">
        <v>46</v>
      </c>
      <c r="Q238" s="0" t="n">
        <v>0.0139</v>
      </c>
      <c r="R238" s="0" t="n">
        <v>0.0091</v>
      </c>
      <c r="S238" s="0" t="n">
        <v>0.008</v>
      </c>
      <c r="T238" s="0" t="n">
        <v>-1</v>
      </c>
      <c r="U238" s="0" t="n">
        <v>0.0089</v>
      </c>
      <c r="V238" s="0" t="s">
        <v>46</v>
      </c>
      <c r="W238" s="0" t="s">
        <v>46</v>
      </c>
      <c r="X238" s="0" t="s">
        <v>47</v>
      </c>
      <c r="Y238" s="0" t="s">
        <v>48</v>
      </c>
      <c r="Z238" s="0" t="s">
        <v>46</v>
      </c>
      <c r="AA238" s="0" t="s">
        <v>46</v>
      </c>
      <c r="AB238" s="0" t="s">
        <v>46</v>
      </c>
      <c r="AC238" s="0" t="s">
        <v>50</v>
      </c>
      <c r="AD238" s="0" t="s">
        <v>51</v>
      </c>
      <c r="AE238" s="0" t="s">
        <v>1521</v>
      </c>
      <c r="AF238" s="0" t="s">
        <v>1522</v>
      </c>
      <c r="AG238" s="0" t="s">
        <v>1523</v>
      </c>
      <c r="AH238" s="0" t="s">
        <v>46</v>
      </c>
      <c r="AI238" s="0" t="s">
        <v>46</v>
      </c>
      <c r="AJ238" s="0" t="s">
        <v>46</v>
      </c>
      <c r="AK238" s="0" t="s">
        <v>46</v>
      </c>
      <c r="AL238" s="0" t="s">
        <v>46</v>
      </c>
    </row>
    <row r="239" customFormat="false" ht="15" hidden="false" customHeight="false" outlineLevel="0" collapsed="false">
      <c r="B239" s="0" t="str">
        <f aca="false">HYPERLINK("https://genome.ucsc.edu/cgi-bin/hgTracks?db=hg19&amp;position=chr2%3A85595703%2D85595703", "chr2:85595703")</f>
        <v>chr2:85595703</v>
      </c>
      <c r="C239" s="0" t="s">
        <v>71</v>
      </c>
      <c r="D239" s="0" t="n">
        <v>85595703</v>
      </c>
      <c r="E239" s="0" t="n">
        <v>85595703</v>
      </c>
      <c r="F239" s="0" t="s">
        <v>82</v>
      </c>
      <c r="G239" s="0" t="s">
        <v>39</v>
      </c>
      <c r="H239" s="0" t="s">
        <v>1524</v>
      </c>
      <c r="I239" s="0" t="s">
        <v>278</v>
      </c>
      <c r="J239" s="0" t="s">
        <v>1525</v>
      </c>
      <c r="K239" s="0" t="s">
        <v>46</v>
      </c>
      <c r="L239" s="0" t="str">
        <f aca="false">HYPERLINK("https://www.ncbi.nlm.nih.gov/snp/rs953933480", "rs953933480")</f>
        <v>rs953933480</v>
      </c>
      <c r="M239" s="0" t="str">
        <f aca="false">HYPERLINK("https://www.genecards.org/Search/Keyword?queryString=%5Baliases%5D(%20ELMOD3%20)&amp;keywords=ELMOD3", "ELMOD3")</f>
        <v>ELMOD3</v>
      </c>
      <c r="N239" s="0" t="s">
        <v>45</v>
      </c>
      <c r="O239" s="0" t="s">
        <v>46</v>
      </c>
      <c r="P239" s="0" t="s">
        <v>46</v>
      </c>
      <c r="Q239" s="0" t="n">
        <v>0.0017</v>
      </c>
      <c r="R239" s="0" t="n">
        <v>0.0021</v>
      </c>
      <c r="S239" s="0" t="n">
        <v>0.0018</v>
      </c>
      <c r="T239" s="0" t="n">
        <v>-1</v>
      </c>
      <c r="U239" s="0" t="n">
        <v>0.0041</v>
      </c>
      <c r="V239" s="0" t="s">
        <v>46</v>
      </c>
      <c r="W239" s="0" t="s">
        <v>46</v>
      </c>
      <c r="X239" s="0" t="s">
        <v>354</v>
      </c>
      <c r="Y239" s="0" t="s">
        <v>48</v>
      </c>
      <c r="Z239" s="0" t="s">
        <v>46</v>
      </c>
      <c r="AA239" s="0" t="s">
        <v>46</v>
      </c>
      <c r="AB239" s="0" t="s">
        <v>46</v>
      </c>
      <c r="AC239" s="0" t="s">
        <v>50</v>
      </c>
      <c r="AD239" s="0" t="s">
        <v>51</v>
      </c>
      <c r="AE239" s="0" t="s">
        <v>1526</v>
      </c>
      <c r="AF239" s="0" t="s">
        <v>1527</v>
      </c>
      <c r="AG239" s="0" t="s">
        <v>1528</v>
      </c>
      <c r="AH239" s="0" t="s">
        <v>46</v>
      </c>
      <c r="AI239" s="0" t="s">
        <v>46</v>
      </c>
      <c r="AJ239" s="0" t="s">
        <v>46</v>
      </c>
      <c r="AK239" s="0" t="s">
        <v>46</v>
      </c>
      <c r="AL239" s="0" t="s">
        <v>46</v>
      </c>
    </row>
    <row r="240" customFormat="false" ht="15" hidden="false" customHeight="false" outlineLevel="0" collapsed="false">
      <c r="B240" s="0" t="str">
        <f aca="false">HYPERLINK("https://genome.ucsc.edu/cgi-bin/hgTracks?db=hg19&amp;position=chr2%3A89102229%2D89102229", "chr2:89102229")</f>
        <v>chr2:89102229</v>
      </c>
      <c r="C240" s="0" t="s">
        <v>71</v>
      </c>
      <c r="D240" s="0" t="n">
        <v>89102229</v>
      </c>
      <c r="E240" s="0" t="n">
        <v>89102229</v>
      </c>
      <c r="F240" s="0" t="s">
        <v>39</v>
      </c>
      <c r="G240" s="0" t="s">
        <v>57</v>
      </c>
      <c r="H240" s="0" t="s">
        <v>1529</v>
      </c>
      <c r="I240" s="0" t="s">
        <v>1530</v>
      </c>
      <c r="J240" s="0" t="s">
        <v>1531</v>
      </c>
      <c r="K240" s="0" t="s">
        <v>46</v>
      </c>
      <c r="L240" s="0" t="str">
        <f aca="false">HYPERLINK("https://www.ncbi.nlm.nih.gov/snp/rs112683162", "rs112683162")</f>
        <v>rs112683162</v>
      </c>
      <c r="M240" s="0" t="str">
        <f aca="false">HYPERLINK("https://www.genecards.org/Search/Keyword?queryString=%5Baliases%5D(%20ANKRD36BP2%20)&amp;keywords=ANKRD36BP2", "ANKRD36BP2")</f>
        <v>ANKRD36BP2</v>
      </c>
      <c r="N240" s="0" t="s">
        <v>1532</v>
      </c>
      <c r="O240" s="0" t="s">
        <v>46</v>
      </c>
      <c r="P240" s="0" t="s">
        <v>1533</v>
      </c>
      <c r="Q240" s="0" t="n">
        <v>0.0210927</v>
      </c>
      <c r="R240" s="0" t="n">
        <v>0.0057</v>
      </c>
      <c r="S240" s="0" t="n">
        <v>0.0017</v>
      </c>
      <c r="T240" s="0" t="n">
        <v>-1</v>
      </c>
      <c r="U240" s="0" t="n">
        <v>0.0044</v>
      </c>
      <c r="V240" s="0" t="s">
        <v>46</v>
      </c>
      <c r="W240" s="0" t="s">
        <v>46</v>
      </c>
      <c r="X240" s="0" t="s">
        <v>46</v>
      </c>
      <c r="Y240" s="0" t="s">
        <v>46</v>
      </c>
      <c r="Z240" s="0" t="s">
        <v>46</v>
      </c>
      <c r="AA240" s="0" t="s">
        <v>46</v>
      </c>
      <c r="AB240" s="0" t="s">
        <v>46</v>
      </c>
      <c r="AC240" s="0" t="s">
        <v>50</v>
      </c>
      <c r="AD240" s="0" t="s">
        <v>51</v>
      </c>
      <c r="AE240" s="0" t="s">
        <v>46</v>
      </c>
      <c r="AF240" s="0" t="s">
        <v>1534</v>
      </c>
      <c r="AG240" s="0" t="s">
        <v>46</v>
      </c>
      <c r="AH240" s="0" t="s">
        <v>46</v>
      </c>
      <c r="AI240" s="0" t="s">
        <v>571</v>
      </c>
      <c r="AJ240" s="0" t="s">
        <v>46</v>
      </c>
      <c r="AK240" s="0" t="s">
        <v>46</v>
      </c>
      <c r="AL240" s="0" t="s">
        <v>46</v>
      </c>
    </row>
    <row r="241" customFormat="false" ht="15" hidden="false" customHeight="false" outlineLevel="0" collapsed="false">
      <c r="B241" s="0" t="str">
        <f aca="false">HYPERLINK("https://genome.ucsc.edu/cgi-bin/hgTracks?db=hg19&amp;position=chr2%3A96519559%2D96519562", "chr2:96519559")</f>
        <v>chr2:96519559</v>
      </c>
      <c r="C241" s="0" t="s">
        <v>71</v>
      </c>
      <c r="D241" s="0" t="n">
        <v>96519559</v>
      </c>
      <c r="E241" s="0" t="n">
        <v>96519562</v>
      </c>
      <c r="F241" s="0" t="s">
        <v>1535</v>
      </c>
      <c r="G241" s="0" t="s">
        <v>185</v>
      </c>
      <c r="H241" s="0" t="s">
        <v>1536</v>
      </c>
      <c r="I241" s="0" t="s">
        <v>1118</v>
      </c>
      <c r="J241" s="0" t="s">
        <v>1537</v>
      </c>
      <c r="K241" s="0" t="s">
        <v>46</v>
      </c>
      <c r="L241" s="0" t="str">
        <f aca="false">HYPERLINK("https://www.ncbi.nlm.nih.gov/snp/rs373126569", "rs373126569")</f>
        <v>rs373126569</v>
      </c>
      <c r="M241" s="0" t="str">
        <f aca="false">HYPERLINK("https://www.genecards.org/Search/Keyword?queryString=%5Baliases%5D(%20ANKRD36C%20)&amp;keywords=ANKRD36C", "ANKRD36C")</f>
        <v>ANKRD36C</v>
      </c>
      <c r="N241" s="0" t="s">
        <v>440</v>
      </c>
      <c r="O241" s="0" t="s">
        <v>262</v>
      </c>
      <c r="P241" s="0" t="s">
        <v>1538</v>
      </c>
      <c r="Q241" s="0" t="n">
        <v>0.0006015</v>
      </c>
      <c r="R241" s="0" t="n">
        <v>-1</v>
      </c>
      <c r="S241" s="0" t="n">
        <v>-1</v>
      </c>
      <c r="T241" s="0" t="n">
        <v>-1</v>
      </c>
      <c r="U241" s="0" t="n">
        <v>-1</v>
      </c>
      <c r="V241" s="0" t="s">
        <v>46</v>
      </c>
      <c r="W241" s="0" t="s">
        <v>46</v>
      </c>
      <c r="X241" s="0" t="s">
        <v>46</v>
      </c>
      <c r="Y241" s="0" t="s">
        <v>46</v>
      </c>
      <c r="Z241" s="0" t="s">
        <v>46</v>
      </c>
      <c r="AA241" s="0" t="s">
        <v>46</v>
      </c>
      <c r="AB241" s="0" t="s">
        <v>46</v>
      </c>
      <c r="AC241" s="0" t="s">
        <v>50</v>
      </c>
      <c r="AD241" s="0" t="s">
        <v>442</v>
      </c>
      <c r="AE241" s="0" t="s">
        <v>46</v>
      </c>
      <c r="AF241" s="0" t="s">
        <v>443</v>
      </c>
      <c r="AG241" s="0" t="s">
        <v>46</v>
      </c>
      <c r="AH241" s="0" t="s">
        <v>46</v>
      </c>
      <c r="AI241" s="0" t="s">
        <v>46</v>
      </c>
      <c r="AJ241" s="0" t="s">
        <v>46</v>
      </c>
      <c r="AK241" s="0" t="s">
        <v>46</v>
      </c>
      <c r="AL241" s="0" t="s">
        <v>46</v>
      </c>
    </row>
    <row r="242" customFormat="false" ht="15" hidden="false" customHeight="false" outlineLevel="0" collapsed="false">
      <c r="B242" s="0" t="str">
        <f aca="false">HYPERLINK("https://genome.ucsc.edu/cgi-bin/hgTracks?db=hg19&amp;position=chr2%3A96521245%2D96521248", "chr2:96521245")</f>
        <v>chr2:96521245</v>
      </c>
      <c r="C242" s="0" t="s">
        <v>71</v>
      </c>
      <c r="D242" s="0" t="n">
        <v>96521245</v>
      </c>
      <c r="E242" s="0" t="n">
        <v>96521248</v>
      </c>
      <c r="F242" s="0" t="s">
        <v>1539</v>
      </c>
      <c r="G242" s="0" t="s">
        <v>185</v>
      </c>
      <c r="H242" s="0" t="s">
        <v>1540</v>
      </c>
      <c r="I242" s="0" t="s">
        <v>1541</v>
      </c>
      <c r="J242" s="0" t="s">
        <v>1542</v>
      </c>
      <c r="K242" s="0" t="s">
        <v>46</v>
      </c>
      <c r="L242" s="0" t="str">
        <f aca="false">HYPERLINK("https://www.ncbi.nlm.nih.gov/snp/rs200875477", "rs200875477")</f>
        <v>rs200875477</v>
      </c>
      <c r="M242" s="0" t="str">
        <f aca="false">HYPERLINK("https://www.genecards.org/Search/Keyword?queryString=%5Baliases%5D(%20ANKRD36C%20)&amp;keywords=ANKRD36C", "ANKRD36C")</f>
        <v>ANKRD36C</v>
      </c>
      <c r="N242" s="0" t="s">
        <v>447</v>
      </c>
      <c r="O242" s="0" t="s">
        <v>262</v>
      </c>
      <c r="P242" s="0" t="s">
        <v>1543</v>
      </c>
      <c r="Q242" s="0" t="n">
        <v>6.5E-006</v>
      </c>
      <c r="R242" s="0" t="n">
        <v>-1</v>
      </c>
      <c r="S242" s="0" t="n">
        <v>-1</v>
      </c>
      <c r="T242" s="0" t="n">
        <v>-1</v>
      </c>
      <c r="U242" s="0" t="n">
        <v>-1</v>
      </c>
      <c r="V242" s="0" t="s">
        <v>46</v>
      </c>
      <c r="W242" s="0" t="s">
        <v>46</v>
      </c>
      <c r="X242" s="0" t="s">
        <v>46</v>
      </c>
      <c r="Y242" s="0" t="s">
        <v>46</v>
      </c>
      <c r="Z242" s="0" t="s">
        <v>46</v>
      </c>
      <c r="AA242" s="0" t="s">
        <v>46</v>
      </c>
      <c r="AB242" s="0" t="s">
        <v>46</v>
      </c>
      <c r="AC242" s="0" t="s">
        <v>50</v>
      </c>
      <c r="AD242" s="0" t="s">
        <v>442</v>
      </c>
      <c r="AE242" s="0" t="s">
        <v>46</v>
      </c>
      <c r="AF242" s="0" t="s">
        <v>443</v>
      </c>
      <c r="AG242" s="0" t="s">
        <v>46</v>
      </c>
      <c r="AH242" s="0" t="s">
        <v>46</v>
      </c>
      <c r="AI242" s="0" t="s">
        <v>46</v>
      </c>
      <c r="AJ242" s="0" t="s">
        <v>46</v>
      </c>
      <c r="AK242" s="0" t="s">
        <v>46</v>
      </c>
      <c r="AL242" s="0" t="s">
        <v>46</v>
      </c>
    </row>
    <row r="243" customFormat="false" ht="15" hidden="false" customHeight="false" outlineLevel="0" collapsed="false">
      <c r="B243" s="0" t="str">
        <f aca="false">HYPERLINK("https://genome.ucsc.edu/cgi-bin/hgTracks?db=hg19&amp;position=chr2%3A96521477%2D96521477", "chr2:96521477")</f>
        <v>chr2:96521477</v>
      </c>
      <c r="C243" s="0" t="s">
        <v>71</v>
      </c>
      <c r="D243" s="0" t="n">
        <v>96521477</v>
      </c>
      <c r="E243" s="0" t="n">
        <v>96521477</v>
      </c>
      <c r="F243" s="0" t="s">
        <v>185</v>
      </c>
      <c r="G243" s="0" t="s">
        <v>39</v>
      </c>
      <c r="H243" s="0" t="s">
        <v>1544</v>
      </c>
      <c r="I243" s="0" t="s">
        <v>1545</v>
      </c>
      <c r="J243" s="0" t="s">
        <v>1546</v>
      </c>
      <c r="K243" s="0" t="s">
        <v>46</v>
      </c>
      <c r="L243" s="0" t="s">
        <v>46</v>
      </c>
      <c r="M243" s="0" t="str">
        <f aca="false">HYPERLINK("https://www.genecards.org/Search/Keyword?queryString=%5Baliases%5D(%20ANKRD36C%20)&amp;keywords=ANKRD36C", "ANKRD36C")</f>
        <v>ANKRD36C</v>
      </c>
      <c r="N243" s="0" t="s">
        <v>447</v>
      </c>
      <c r="O243" s="0" t="s">
        <v>273</v>
      </c>
      <c r="P243" s="0" t="s">
        <v>1547</v>
      </c>
      <c r="Q243" s="0" t="n">
        <v>-1</v>
      </c>
      <c r="R243" s="0" t="n">
        <v>-1</v>
      </c>
      <c r="S243" s="0" t="n">
        <v>-1</v>
      </c>
      <c r="T243" s="0" t="n">
        <v>-1</v>
      </c>
      <c r="U243" s="0" t="n">
        <v>-1</v>
      </c>
      <c r="V243" s="0" t="s">
        <v>46</v>
      </c>
      <c r="W243" s="0" t="s">
        <v>46</v>
      </c>
      <c r="X243" s="0" t="s">
        <v>46</v>
      </c>
      <c r="Y243" s="0" t="s">
        <v>46</v>
      </c>
      <c r="Z243" s="0" t="s">
        <v>46</v>
      </c>
      <c r="AA243" s="0" t="s">
        <v>46</v>
      </c>
      <c r="AB243" s="0" t="s">
        <v>46</v>
      </c>
      <c r="AC243" s="0" t="s">
        <v>50</v>
      </c>
      <c r="AD243" s="0" t="s">
        <v>442</v>
      </c>
      <c r="AE243" s="0" t="s">
        <v>46</v>
      </c>
      <c r="AF243" s="0" t="s">
        <v>443</v>
      </c>
      <c r="AG243" s="0" t="s">
        <v>46</v>
      </c>
      <c r="AH243" s="0" t="s">
        <v>46</v>
      </c>
      <c r="AI243" s="0" t="s">
        <v>46</v>
      </c>
      <c r="AJ243" s="0" t="s">
        <v>46</v>
      </c>
      <c r="AK243" s="0" t="s">
        <v>46</v>
      </c>
      <c r="AL243" s="0" t="s">
        <v>46</v>
      </c>
    </row>
    <row r="244" customFormat="false" ht="15" hidden="false" customHeight="false" outlineLevel="0" collapsed="false">
      <c r="B244" s="0" t="str">
        <f aca="false">HYPERLINK("https://genome.ucsc.edu/cgi-bin/hgTracks?db=hg19&amp;position=chr2%3A96521479%2D96521479", "chr2:96521479")</f>
        <v>chr2:96521479</v>
      </c>
      <c r="C244" s="0" t="s">
        <v>71</v>
      </c>
      <c r="D244" s="0" t="n">
        <v>96521479</v>
      </c>
      <c r="E244" s="0" t="n">
        <v>96521479</v>
      </c>
      <c r="F244" s="0" t="s">
        <v>185</v>
      </c>
      <c r="G244" s="0" t="s">
        <v>82</v>
      </c>
      <c r="H244" s="0" t="s">
        <v>1548</v>
      </c>
      <c r="I244" s="0" t="s">
        <v>1549</v>
      </c>
      <c r="J244" s="0" t="s">
        <v>1550</v>
      </c>
      <c r="K244" s="0" t="s">
        <v>46</v>
      </c>
      <c r="L244" s="0" t="s">
        <v>46</v>
      </c>
      <c r="M244" s="0" t="str">
        <f aca="false">HYPERLINK("https://www.genecards.org/Search/Keyword?queryString=%5Baliases%5D(%20ANKRD36C%20)&amp;keywords=ANKRD36C", "ANKRD36C")</f>
        <v>ANKRD36C</v>
      </c>
      <c r="N244" s="0" t="s">
        <v>447</v>
      </c>
      <c r="O244" s="0" t="s">
        <v>273</v>
      </c>
      <c r="P244" s="0" t="s">
        <v>1551</v>
      </c>
      <c r="Q244" s="0" t="n">
        <v>-1</v>
      </c>
      <c r="R244" s="0" t="n">
        <v>-1</v>
      </c>
      <c r="S244" s="0" t="n">
        <v>-1</v>
      </c>
      <c r="T244" s="0" t="n">
        <v>-1</v>
      </c>
      <c r="U244" s="0" t="n">
        <v>-1</v>
      </c>
      <c r="V244" s="0" t="s">
        <v>46</v>
      </c>
      <c r="W244" s="0" t="s">
        <v>46</v>
      </c>
      <c r="X244" s="0" t="s">
        <v>46</v>
      </c>
      <c r="Y244" s="0" t="s">
        <v>46</v>
      </c>
      <c r="Z244" s="0" t="s">
        <v>46</v>
      </c>
      <c r="AA244" s="0" t="s">
        <v>46</v>
      </c>
      <c r="AB244" s="0" t="s">
        <v>46</v>
      </c>
      <c r="AC244" s="0" t="s">
        <v>50</v>
      </c>
      <c r="AD244" s="0" t="s">
        <v>442</v>
      </c>
      <c r="AE244" s="0" t="s">
        <v>46</v>
      </c>
      <c r="AF244" s="0" t="s">
        <v>443</v>
      </c>
      <c r="AG244" s="0" t="s">
        <v>46</v>
      </c>
      <c r="AH244" s="0" t="s">
        <v>46</v>
      </c>
      <c r="AI244" s="0" t="s">
        <v>46</v>
      </c>
      <c r="AJ244" s="0" t="s">
        <v>46</v>
      </c>
      <c r="AK244" s="0" t="s">
        <v>46</v>
      </c>
      <c r="AL244" s="0" t="s">
        <v>46</v>
      </c>
    </row>
    <row r="245" customFormat="false" ht="15" hidden="false" customHeight="false" outlineLevel="0" collapsed="false">
      <c r="B245" s="0" t="str">
        <f aca="false">HYPERLINK("https://genome.ucsc.edu/cgi-bin/hgTracks?db=hg19&amp;position=chr2%3A96521483%2D96521484", "chr2:96521483")</f>
        <v>chr2:96521483</v>
      </c>
      <c r="C245" s="0" t="s">
        <v>71</v>
      </c>
      <c r="D245" s="0" t="n">
        <v>96521483</v>
      </c>
      <c r="E245" s="0" t="n">
        <v>96521484</v>
      </c>
      <c r="F245" s="0" t="s">
        <v>785</v>
      </c>
      <c r="G245" s="0" t="s">
        <v>185</v>
      </c>
      <c r="H245" s="0" t="s">
        <v>1552</v>
      </c>
      <c r="I245" s="0" t="s">
        <v>1553</v>
      </c>
      <c r="J245" s="0" t="s">
        <v>1554</v>
      </c>
      <c r="K245" s="0" t="s">
        <v>46</v>
      </c>
      <c r="L245" s="0" t="s">
        <v>46</v>
      </c>
      <c r="M245" s="0" t="str">
        <f aca="false">HYPERLINK("https://www.genecards.org/Search/Keyword?queryString=%5Baliases%5D(%20ANKRD36C%20)&amp;keywords=ANKRD36C", "ANKRD36C")</f>
        <v>ANKRD36C</v>
      </c>
      <c r="N245" s="0" t="s">
        <v>447</v>
      </c>
      <c r="O245" s="0" t="s">
        <v>262</v>
      </c>
      <c r="P245" s="0" t="s">
        <v>1555</v>
      </c>
      <c r="Q245" s="0" t="n">
        <v>-1</v>
      </c>
      <c r="R245" s="0" t="n">
        <v>-1</v>
      </c>
      <c r="S245" s="0" t="n">
        <v>-1</v>
      </c>
      <c r="T245" s="0" t="n">
        <v>-1</v>
      </c>
      <c r="U245" s="0" t="n">
        <v>-1</v>
      </c>
      <c r="V245" s="0" t="s">
        <v>46</v>
      </c>
      <c r="W245" s="0" t="s">
        <v>46</v>
      </c>
      <c r="X245" s="0" t="s">
        <v>46</v>
      </c>
      <c r="Y245" s="0" t="s">
        <v>46</v>
      </c>
      <c r="Z245" s="0" t="s">
        <v>46</v>
      </c>
      <c r="AA245" s="0" t="s">
        <v>46</v>
      </c>
      <c r="AB245" s="0" t="s">
        <v>46</v>
      </c>
      <c r="AC245" s="0" t="s">
        <v>50</v>
      </c>
      <c r="AD245" s="0" t="s">
        <v>442</v>
      </c>
      <c r="AE245" s="0" t="s">
        <v>46</v>
      </c>
      <c r="AF245" s="0" t="s">
        <v>443</v>
      </c>
      <c r="AG245" s="0" t="s">
        <v>46</v>
      </c>
      <c r="AH245" s="0" t="s">
        <v>46</v>
      </c>
      <c r="AI245" s="0" t="s">
        <v>46</v>
      </c>
      <c r="AJ245" s="0" t="s">
        <v>46</v>
      </c>
      <c r="AK245" s="0" t="s">
        <v>46</v>
      </c>
      <c r="AL245" s="0" t="s">
        <v>46</v>
      </c>
    </row>
    <row r="246" customFormat="false" ht="15" hidden="false" customHeight="false" outlineLevel="0" collapsed="false">
      <c r="B246" s="0" t="str">
        <f aca="false">HYPERLINK("https://genome.ucsc.edu/cgi-bin/hgTracks?db=hg19&amp;position=chr2%3A101640086%2D101640086", "chr2:101640086")</f>
        <v>chr2:101640086</v>
      </c>
      <c r="C246" s="0" t="s">
        <v>71</v>
      </c>
      <c r="D246" s="0" t="n">
        <v>101640086</v>
      </c>
      <c r="E246" s="0" t="n">
        <v>101640086</v>
      </c>
      <c r="F246" s="0" t="s">
        <v>185</v>
      </c>
      <c r="G246" s="0" t="s">
        <v>82</v>
      </c>
      <c r="H246" s="0" t="s">
        <v>1556</v>
      </c>
      <c r="I246" s="0" t="s">
        <v>847</v>
      </c>
      <c r="J246" s="0" t="s">
        <v>1557</v>
      </c>
      <c r="K246" s="0" t="s">
        <v>46</v>
      </c>
      <c r="L246" s="0" t="str">
        <f aca="false">HYPERLINK("https://www.ncbi.nlm.nih.gov/snp/rs749940223", "rs749940223")</f>
        <v>rs749940223</v>
      </c>
      <c r="M246" s="0" t="str">
        <f aca="false">HYPERLINK("https://www.genecards.org/Search/Keyword?queryString=%5Baliases%5D(%20TBC1D8%20)&amp;keywords=TBC1D8", "TBC1D8")</f>
        <v>TBC1D8</v>
      </c>
      <c r="N246" s="0" t="s">
        <v>1558</v>
      </c>
      <c r="O246" s="0" t="s">
        <v>46</v>
      </c>
      <c r="P246" s="0" t="s">
        <v>1559</v>
      </c>
      <c r="Q246" s="0" t="n">
        <v>0.0061</v>
      </c>
      <c r="R246" s="0" t="n">
        <v>0.003</v>
      </c>
      <c r="S246" s="0" t="n">
        <v>0.0021</v>
      </c>
      <c r="T246" s="0" t="n">
        <v>-1</v>
      </c>
      <c r="U246" s="0" t="n">
        <v>0.0056</v>
      </c>
      <c r="V246" s="0" t="s">
        <v>46</v>
      </c>
      <c r="W246" s="0" t="s">
        <v>46</v>
      </c>
      <c r="X246" s="0" t="s">
        <v>46</v>
      </c>
      <c r="Y246" s="0" t="s">
        <v>46</v>
      </c>
      <c r="Z246" s="0" t="s">
        <v>46</v>
      </c>
      <c r="AA246" s="0" t="s">
        <v>46</v>
      </c>
      <c r="AB246" s="0" t="s">
        <v>46</v>
      </c>
      <c r="AC246" s="0" t="s">
        <v>50</v>
      </c>
      <c r="AD246" s="0" t="s">
        <v>51</v>
      </c>
      <c r="AE246" s="0" t="s">
        <v>1560</v>
      </c>
      <c r="AF246" s="0" t="s">
        <v>1561</v>
      </c>
      <c r="AG246" s="0" t="s">
        <v>1562</v>
      </c>
      <c r="AH246" s="0" t="s">
        <v>46</v>
      </c>
      <c r="AI246" s="0" t="s">
        <v>46</v>
      </c>
      <c r="AJ246" s="0" t="s">
        <v>46</v>
      </c>
      <c r="AK246" s="0" t="s">
        <v>46</v>
      </c>
      <c r="AL246" s="0" t="s">
        <v>46</v>
      </c>
    </row>
    <row r="247" customFormat="false" ht="15" hidden="false" customHeight="false" outlineLevel="0" collapsed="false">
      <c r="B247" s="0" t="str">
        <f aca="false">HYPERLINK("https://genome.ucsc.edu/cgi-bin/hgTracks?db=hg19&amp;position=chr2%3A120369092%2D120369092", "chr2:120369092")</f>
        <v>chr2:120369092</v>
      </c>
      <c r="C247" s="0" t="s">
        <v>71</v>
      </c>
      <c r="D247" s="0" t="n">
        <v>120369092</v>
      </c>
      <c r="E247" s="0" t="n">
        <v>120369092</v>
      </c>
      <c r="F247" s="0" t="s">
        <v>40</v>
      </c>
      <c r="G247" s="0" t="s">
        <v>39</v>
      </c>
      <c r="H247" s="0" t="s">
        <v>1563</v>
      </c>
      <c r="I247" s="0" t="s">
        <v>251</v>
      </c>
      <c r="J247" s="0" t="s">
        <v>1564</v>
      </c>
      <c r="K247" s="0" t="s">
        <v>46</v>
      </c>
      <c r="L247" s="0" t="str">
        <f aca="false">HYPERLINK("https://www.ncbi.nlm.nih.gov/snp/rs530522468", "rs530522468")</f>
        <v>rs530522468</v>
      </c>
      <c r="M247" s="0" t="str">
        <f aca="false">HYPERLINK("https://www.genecards.org/Search/Keyword?queryString=%5Baliases%5D(%20CFAP221%20)%20OR%20%5Baliases%5D(%20PCDP1%20)&amp;keywords=CFAP221,PCDP1", "CFAP221;PCDP1")</f>
        <v>CFAP221;PCDP1</v>
      </c>
      <c r="N247" s="0" t="s">
        <v>45</v>
      </c>
      <c r="O247" s="0" t="s">
        <v>46</v>
      </c>
      <c r="P247" s="0" t="s">
        <v>46</v>
      </c>
      <c r="Q247" s="0" t="n">
        <v>0.0037</v>
      </c>
      <c r="R247" s="0" t="n">
        <v>0.0037</v>
      </c>
      <c r="S247" s="0" t="n">
        <v>0.0034</v>
      </c>
      <c r="T247" s="0" t="n">
        <v>-1</v>
      </c>
      <c r="U247" s="0" t="n">
        <v>0.0027</v>
      </c>
      <c r="V247" s="0" t="s">
        <v>46</v>
      </c>
      <c r="W247" s="0" t="s">
        <v>46</v>
      </c>
      <c r="X247" s="0" t="s">
        <v>47</v>
      </c>
      <c r="Y247" s="0" t="s">
        <v>48</v>
      </c>
      <c r="Z247" s="0" t="s">
        <v>46</v>
      </c>
      <c r="AA247" s="0" t="s">
        <v>46</v>
      </c>
      <c r="AB247" s="0" t="s">
        <v>46</v>
      </c>
      <c r="AC247" s="0" t="s">
        <v>50</v>
      </c>
      <c r="AD247" s="0" t="s">
        <v>191</v>
      </c>
      <c r="AE247" s="0" t="s">
        <v>46</v>
      </c>
      <c r="AF247" s="0" t="s">
        <v>1565</v>
      </c>
      <c r="AG247" s="0" t="s">
        <v>1566</v>
      </c>
      <c r="AH247" s="0" t="s">
        <v>46</v>
      </c>
      <c r="AI247" s="0" t="s">
        <v>46</v>
      </c>
      <c r="AJ247" s="0" t="s">
        <v>46</v>
      </c>
      <c r="AK247" s="0" t="s">
        <v>46</v>
      </c>
      <c r="AL247" s="0" t="s">
        <v>46</v>
      </c>
    </row>
    <row r="248" customFormat="false" ht="15" hidden="false" customHeight="false" outlineLevel="0" collapsed="false">
      <c r="B248" s="0" t="str">
        <f aca="false">HYPERLINK("https://genome.ucsc.edu/cgi-bin/hgTracks?db=hg19&amp;position=chr2%3A121684759%2D121684759", "chr2:121684759")</f>
        <v>chr2:121684759</v>
      </c>
      <c r="C248" s="0" t="s">
        <v>71</v>
      </c>
      <c r="D248" s="0" t="n">
        <v>121684759</v>
      </c>
      <c r="E248" s="0" t="n">
        <v>121684759</v>
      </c>
      <c r="F248" s="0" t="s">
        <v>40</v>
      </c>
      <c r="G248" s="0" t="s">
        <v>82</v>
      </c>
      <c r="H248" s="0" t="s">
        <v>1567</v>
      </c>
      <c r="I248" s="0" t="s">
        <v>1018</v>
      </c>
      <c r="J248" s="0" t="s">
        <v>1568</v>
      </c>
      <c r="K248" s="0" t="s">
        <v>46</v>
      </c>
      <c r="L248" s="0" t="str">
        <f aca="false">HYPERLINK("https://www.ncbi.nlm.nih.gov/snp/rs556629483", "rs556629483")</f>
        <v>rs556629483</v>
      </c>
      <c r="M248" s="0" t="str">
        <f aca="false">HYPERLINK("https://www.genecards.org/Search/Keyword?queryString=%5Baliases%5D(%20GLI2%20)&amp;keywords=GLI2", "GLI2")</f>
        <v>GLI2</v>
      </c>
      <c r="N248" s="0" t="s">
        <v>45</v>
      </c>
      <c r="O248" s="0" t="s">
        <v>46</v>
      </c>
      <c r="P248" s="0" t="s">
        <v>46</v>
      </c>
      <c r="Q248" s="0" t="n">
        <v>0.00663488</v>
      </c>
      <c r="R248" s="0" t="n">
        <v>0.0049</v>
      </c>
      <c r="S248" s="0" t="n">
        <v>0.0066</v>
      </c>
      <c r="T248" s="0" t="n">
        <v>-1</v>
      </c>
      <c r="U248" s="0" t="n">
        <v>0.0081</v>
      </c>
      <c r="V248" s="0" t="s">
        <v>46</v>
      </c>
      <c r="W248" s="0" t="s">
        <v>46</v>
      </c>
      <c r="X248" s="0" t="s">
        <v>47</v>
      </c>
      <c r="Y248" s="0" t="s">
        <v>48</v>
      </c>
      <c r="Z248" s="0" t="s">
        <v>46</v>
      </c>
      <c r="AA248" s="0" t="s">
        <v>46</v>
      </c>
      <c r="AB248" s="0" t="s">
        <v>46</v>
      </c>
      <c r="AC248" s="0" t="s">
        <v>50</v>
      </c>
      <c r="AD248" s="0" t="s">
        <v>51</v>
      </c>
      <c r="AE248" s="0" t="s">
        <v>1569</v>
      </c>
      <c r="AF248" s="0" t="s">
        <v>1570</v>
      </c>
      <c r="AG248" s="0" t="s">
        <v>1571</v>
      </c>
      <c r="AH248" s="0" t="s">
        <v>1572</v>
      </c>
      <c r="AI248" s="0" t="s">
        <v>46</v>
      </c>
      <c r="AJ248" s="0" t="s">
        <v>46</v>
      </c>
      <c r="AK248" s="0" t="s">
        <v>46</v>
      </c>
      <c r="AL248" s="0" t="s">
        <v>46</v>
      </c>
    </row>
    <row r="249" customFormat="false" ht="15" hidden="false" customHeight="false" outlineLevel="0" collapsed="false">
      <c r="B249" s="0" t="str">
        <f aca="false">HYPERLINK("https://genome.ucsc.edu/cgi-bin/hgTracks?db=hg19&amp;position=chr2%3A132912398%2D132912398", "chr2:132912398")</f>
        <v>chr2:132912398</v>
      </c>
      <c r="C249" s="0" t="s">
        <v>71</v>
      </c>
      <c r="D249" s="0" t="n">
        <v>132912398</v>
      </c>
      <c r="E249" s="0" t="n">
        <v>132912398</v>
      </c>
      <c r="F249" s="0" t="s">
        <v>82</v>
      </c>
      <c r="G249" s="0" t="s">
        <v>40</v>
      </c>
      <c r="H249" s="0" t="s">
        <v>1573</v>
      </c>
      <c r="I249" s="0" t="s">
        <v>1574</v>
      </c>
      <c r="J249" s="0" t="s">
        <v>1575</v>
      </c>
      <c r="K249" s="0" t="s">
        <v>46</v>
      </c>
      <c r="L249" s="0" t="str">
        <f aca="false">HYPERLINK("https://www.ncbi.nlm.nih.gov/snp/rs200274266", "rs200274266")</f>
        <v>rs200274266</v>
      </c>
      <c r="M249" s="0" t="str">
        <f aca="false">HYPERLINK("https://www.genecards.org/Search/Keyword?queryString=%5Baliases%5D(%20ANKRD30BL%20)&amp;keywords=ANKRD30BL", "ANKRD30BL")</f>
        <v>ANKRD30BL</v>
      </c>
      <c r="N249" s="0" t="s">
        <v>306</v>
      </c>
      <c r="O249" s="0" t="s">
        <v>46</v>
      </c>
      <c r="P249" s="0" t="s">
        <v>46</v>
      </c>
      <c r="Q249" s="0" t="n">
        <v>0.0251</v>
      </c>
      <c r="R249" s="0" t="n">
        <v>0.0045</v>
      </c>
      <c r="S249" s="0" t="n">
        <v>0.0043</v>
      </c>
      <c r="T249" s="0" t="n">
        <v>-1</v>
      </c>
      <c r="U249" s="0" t="n">
        <v>0.006</v>
      </c>
      <c r="V249" s="0" t="s">
        <v>46</v>
      </c>
      <c r="W249" s="0" t="s">
        <v>46</v>
      </c>
      <c r="X249" s="0" t="s">
        <v>47</v>
      </c>
      <c r="Y249" s="0" t="s">
        <v>48</v>
      </c>
      <c r="Z249" s="0" t="s">
        <v>46</v>
      </c>
      <c r="AA249" s="0" t="s">
        <v>46</v>
      </c>
      <c r="AB249" s="0" t="s">
        <v>46</v>
      </c>
      <c r="AC249" s="0" t="s">
        <v>50</v>
      </c>
      <c r="AD249" s="0" t="s">
        <v>51</v>
      </c>
      <c r="AE249" s="0" t="s">
        <v>46</v>
      </c>
      <c r="AF249" s="0" t="s">
        <v>1576</v>
      </c>
      <c r="AG249" s="0" t="s">
        <v>46</v>
      </c>
      <c r="AH249" s="0" t="s">
        <v>46</v>
      </c>
      <c r="AI249" s="0" t="s">
        <v>46</v>
      </c>
      <c r="AJ249" s="0" t="s">
        <v>46</v>
      </c>
      <c r="AK249" s="0" t="s">
        <v>46</v>
      </c>
      <c r="AL249" s="0" t="s">
        <v>46</v>
      </c>
    </row>
    <row r="250" customFormat="false" ht="15" hidden="false" customHeight="false" outlineLevel="0" collapsed="false">
      <c r="B250" s="0" t="str">
        <f aca="false">HYPERLINK("https://genome.ucsc.edu/cgi-bin/hgTracks?db=hg19&amp;position=chr2%3A136669945%2D136669945", "chr2:136669945")</f>
        <v>chr2:136669945</v>
      </c>
      <c r="C250" s="0" t="s">
        <v>71</v>
      </c>
      <c r="D250" s="0" t="n">
        <v>136669945</v>
      </c>
      <c r="E250" s="0" t="n">
        <v>136669945</v>
      </c>
      <c r="F250" s="0" t="s">
        <v>82</v>
      </c>
      <c r="G250" s="0" t="s">
        <v>40</v>
      </c>
      <c r="H250" s="0" t="s">
        <v>1577</v>
      </c>
      <c r="I250" s="0" t="s">
        <v>560</v>
      </c>
      <c r="J250" s="0" t="s">
        <v>1308</v>
      </c>
      <c r="K250" s="0" t="s">
        <v>46</v>
      </c>
      <c r="L250" s="0" t="str">
        <f aca="false">HYPERLINK("https://www.ncbi.nlm.nih.gov/snp/rs146858904", "rs146858904")</f>
        <v>rs146858904</v>
      </c>
      <c r="M250" s="0" t="str">
        <f aca="false">HYPERLINK("https://www.genecards.org/Search/Keyword?queryString=%5Baliases%5D(%20DARS%20)&amp;keywords=DARS", "DARS")</f>
        <v>DARS</v>
      </c>
      <c r="N250" s="0" t="s">
        <v>45</v>
      </c>
      <c r="O250" s="0" t="s">
        <v>46</v>
      </c>
      <c r="P250" s="0" t="s">
        <v>46</v>
      </c>
      <c r="Q250" s="0" t="n">
        <v>0.0236</v>
      </c>
      <c r="R250" s="0" t="n">
        <v>0.021</v>
      </c>
      <c r="S250" s="0" t="n">
        <v>0.0217</v>
      </c>
      <c r="T250" s="0" t="n">
        <v>-1</v>
      </c>
      <c r="U250" s="0" t="n">
        <v>0.0122</v>
      </c>
      <c r="V250" s="0" t="s">
        <v>46</v>
      </c>
      <c r="W250" s="0" t="s">
        <v>46</v>
      </c>
      <c r="X250" s="0" t="s">
        <v>354</v>
      </c>
      <c r="Y250" s="0" t="s">
        <v>48</v>
      </c>
      <c r="Z250" s="0" t="s">
        <v>46</v>
      </c>
      <c r="AA250" s="0" t="s">
        <v>46</v>
      </c>
      <c r="AB250" s="0" t="s">
        <v>46</v>
      </c>
      <c r="AC250" s="0" t="s">
        <v>50</v>
      </c>
      <c r="AD250" s="0" t="s">
        <v>51</v>
      </c>
      <c r="AE250" s="0" t="s">
        <v>1578</v>
      </c>
      <c r="AF250" s="0" t="s">
        <v>1579</v>
      </c>
      <c r="AG250" s="0" t="s">
        <v>1580</v>
      </c>
      <c r="AH250" s="0" t="s">
        <v>46</v>
      </c>
      <c r="AI250" s="0" t="s">
        <v>46</v>
      </c>
      <c r="AJ250" s="0" t="s">
        <v>46</v>
      </c>
      <c r="AK250" s="0" t="s">
        <v>46</v>
      </c>
      <c r="AL250" s="0" t="s">
        <v>46</v>
      </c>
    </row>
    <row r="251" customFormat="false" ht="15" hidden="false" customHeight="false" outlineLevel="0" collapsed="false">
      <c r="B251" s="0" t="str">
        <f aca="false">HYPERLINK("https://genome.ucsc.edu/cgi-bin/hgTracks?db=hg19&amp;position=chr2%3A141571160%2D141571160", "chr2:141571160")</f>
        <v>chr2:141571160</v>
      </c>
      <c r="C251" s="0" t="s">
        <v>71</v>
      </c>
      <c r="D251" s="0" t="n">
        <v>141571160</v>
      </c>
      <c r="E251" s="0" t="n">
        <v>141571160</v>
      </c>
      <c r="F251" s="0" t="s">
        <v>57</v>
      </c>
      <c r="G251" s="0" t="s">
        <v>40</v>
      </c>
      <c r="H251" s="0" t="s">
        <v>1581</v>
      </c>
      <c r="I251" s="0" t="s">
        <v>976</v>
      </c>
      <c r="J251" s="0" t="s">
        <v>1582</v>
      </c>
      <c r="K251" s="0" t="s">
        <v>46</v>
      </c>
      <c r="L251" s="0" t="str">
        <f aca="false">HYPERLINK("https://www.ncbi.nlm.nih.gov/snp/rs547535188", "rs547535188")</f>
        <v>rs547535188</v>
      </c>
      <c r="M251" s="0" t="str">
        <f aca="false">HYPERLINK("https://www.genecards.org/Search/Keyword?queryString=%5Baliases%5D(%20LRP1B%20)&amp;keywords=LRP1B", "LRP1B")</f>
        <v>LRP1B</v>
      </c>
      <c r="N251" s="0" t="s">
        <v>45</v>
      </c>
      <c r="O251" s="0" t="s">
        <v>46</v>
      </c>
      <c r="P251" s="0" t="s">
        <v>46</v>
      </c>
      <c r="Q251" s="0" t="n">
        <v>0.0072</v>
      </c>
      <c r="R251" s="0" t="n">
        <v>0.0002</v>
      </c>
      <c r="S251" s="0" t="n">
        <v>0.0003</v>
      </c>
      <c r="T251" s="0" t="n">
        <v>-1</v>
      </c>
      <c r="U251" s="0" t="n">
        <v>0.0002</v>
      </c>
      <c r="V251" s="0" t="s">
        <v>46</v>
      </c>
      <c r="W251" s="0" t="s">
        <v>46</v>
      </c>
      <c r="X251" s="0" t="s">
        <v>47</v>
      </c>
      <c r="Y251" s="0" t="s">
        <v>48</v>
      </c>
      <c r="Z251" s="0" t="s">
        <v>46</v>
      </c>
      <c r="AA251" s="0" t="s">
        <v>46</v>
      </c>
      <c r="AB251" s="0" t="s">
        <v>46</v>
      </c>
      <c r="AC251" s="0" t="s">
        <v>50</v>
      </c>
      <c r="AD251" s="0" t="s">
        <v>51</v>
      </c>
      <c r="AE251" s="0" t="s">
        <v>1583</v>
      </c>
      <c r="AF251" s="0" t="s">
        <v>1584</v>
      </c>
      <c r="AG251" s="0" t="s">
        <v>1585</v>
      </c>
      <c r="AH251" s="0" t="s">
        <v>46</v>
      </c>
      <c r="AI251" s="0" t="s">
        <v>46</v>
      </c>
      <c r="AJ251" s="0" t="s">
        <v>46</v>
      </c>
      <c r="AK251" s="0" t="s">
        <v>46</v>
      </c>
      <c r="AL251" s="0" t="s">
        <v>46</v>
      </c>
    </row>
    <row r="252" customFormat="false" ht="15" hidden="false" customHeight="false" outlineLevel="0" collapsed="false">
      <c r="B252" s="0" t="str">
        <f aca="false">HYPERLINK("https://genome.ucsc.edu/cgi-bin/hgTracks?db=hg19&amp;position=chr2%3A153485175%2D153485175", "chr2:153485175")</f>
        <v>chr2:153485175</v>
      </c>
      <c r="C252" s="0" t="s">
        <v>71</v>
      </c>
      <c r="D252" s="0" t="n">
        <v>153485175</v>
      </c>
      <c r="E252" s="0" t="n">
        <v>153485175</v>
      </c>
      <c r="F252" s="0" t="s">
        <v>82</v>
      </c>
      <c r="G252" s="0" t="s">
        <v>57</v>
      </c>
      <c r="H252" s="0" t="s">
        <v>1586</v>
      </c>
      <c r="I252" s="0" t="s">
        <v>976</v>
      </c>
      <c r="J252" s="0" t="s">
        <v>1587</v>
      </c>
      <c r="K252" s="0" t="s">
        <v>46</v>
      </c>
      <c r="L252" s="0" t="str">
        <f aca="false">HYPERLINK("https://www.ncbi.nlm.nih.gov/snp/rs115896492", "rs115896492")</f>
        <v>rs115896492</v>
      </c>
      <c r="M252" s="0" t="str">
        <f aca="false">HYPERLINK("https://www.genecards.org/Search/Keyword?queryString=%5Baliases%5D(%20FMNL2%20)&amp;keywords=FMNL2", "FMNL2")</f>
        <v>FMNL2</v>
      </c>
      <c r="N252" s="0" t="s">
        <v>45</v>
      </c>
      <c r="O252" s="0" t="s">
        <v>46</v>
      </c>
      <c r="P252" s="0" t="s">
        <v>46</v>
      </c>
      <c r="Q252" s="0" t="n">
        <v>0.0276</v>
      </c>
      <c r="R252" s="0" t="n">
        <v>0.0086</v>
      </c>
      <c r="S252" s="0" t="n">
        <v>0.0092</v>
      </c>
      <c r="T252" s="0" t="n">
        <v>-1</v>
      </c>
      <c r="U252" s="0" t="n">
        <v>0.0081</v>
      </c>
      <c r="V252" s="0" t="s">
        <v>46</v>
      </c>
      <c r="W252" s="0" t="s">
        <v>46</v>
      </c>
      <c r="X252" s="0" t="s">
        <v>47</v>
      </c>
      <c r="Y252" s="0" t="s">
        <v>48</v>
      </c>
      <c r="Z252" s="0" t="s">
        <v>46</v>
      </c>
      <c r="AA252" s="0" t="s">
        <v>46</v>
      </c>
      <c r="AB252" s="0" t="s">
        <v>46</v>
      </c>
      <c r="AC252" s="0" t="s">
        <v>50</v>
      </c>
      <c r="AD252" s="0" t="s">
        <v>51</v>
      </c>
      <c r="AE252" s="0" t="s">
        <v>1588</v>
      </c>
      <c r="AF252" s="0" t="s">
        <v>1589</v>
      </c>
      <c r="AG252" s="0" t="s">
        <v>1590</v>
      </c>
      <c r="AH252" s="0" t="s">
        <v>46</v>
      </c>
      <c r="AI252" s="0" t="s">
        <v>46</v>
      </c>
      <c r="AJ252" s="0" t="s">
        <v>46</v>
      </c>
      <c r="AK252" s="0" t="s">
        <v>46</v>
      </c>
      <c r="AL252" s="0" t="s">
        <v>46</v>
      </c>
    </row>
    <row r="253" customFormat="false" ht="15" hidden="false" customHeight="false" outlineLevel="0" collapsed="false">
      <c r="B253" s="0" t="str">
        <f aca="false">HYPERLINK("https://genome.ucsc.edu/cgi-bin/hgTracks?db=hg19&amp;position=chr2%3A175614910%2D175614911", "chr2:175614910")</f>
        <v>chr2:175614910</v>
      </c>
      <c r="C253" s="0" t="s">
        <v>71</v>
      </c>
      <c r="D253" s="0" t="n">
        <v>175614910</v>
      </c>
      <c r="E253" s="0" t="n">
        <v>175614911</v>
      </c>
      <c r="F253" s="0" t="s">
        <v>249</v>
      </c>
      <c r="G253" s="0" t="s">
        <v>185</v>
      </c>
      <c r="H253" s="0" t="s">
        <v>1591</v>
      </c>
      <c r="I253" s="0" t="s">
        <v>1326</v>
      </c>
      <c r="J253" s="0" t="s">
        <v>1592</v>
      </c>
      <c r="K253" s="0" t="s">
        <v>46</v>
      </c>
      <c r="L253" s="0" t="s">
        <v>46</v>
      </c>
      <c r="M253" s="0" t="str">
        <f aca="false">HYPERLINK("https://www.genecards.org/Search/Keyword?queryString=%5Baliases%5D(%20BC046497%20)%20OR%20%5Baliases%5D(%20CHRNA1%20)&amp;keywords=BC046497,CHRNA1", "BC046497;CHRNA1")</f>
        <v>BC046497;CHRNA1</v>
      </c>
      <c r="N253" s="0" t="s">
        <v>306</v>
      </c>
      <c r="O253" s="0" t="s">
        <v>46</v>
      </c>
      <c r="P253" s="0" t="s">
        <v>46</v>
      </c>
      <c r="Q253" s="0" t="n">
        <v>-1</v>
      </c>
      <c r="R253" s="0" t="n">
        <v>-1</v>
      </c>
      <c r="S253" s="0" t="n">
        <v>-1</v>
      </c>
      <c r="T253" s="0" t="n">
        <v>-1</v>
      </c>
      <c r="U253" s="0" t="n">
        <v>-1</v>
      </c>
      <c r="V253" s="0" t="s">
        <v>46</v>
      </c>
      <c r="W253" s="0" t="s">
        <v>46</v>
      </c>
      <c r="X253" s="0" t="s">
        <v>46</v>
      </c>
      <c r="Y253" s="0" t="s">
        <v>46</v>
      </c>
      <c r="Z253" s="0" t="s">
        <v>46</v>
      </c>
      <c r="AA253" s="0" t="s">
        <v>46</v>
      </c>
      <c r="AB253" s="0" t="s">
        <v>46</v>
      </c>
      <c r="AC253" s="0" t="s">
        <v>254</v>
      </c>
      <c r="AD253" s="0" t="s">
        <v>191</v>
      </c>
      <c r="AE253" s="0" t="s">
        <v>1593</v>
      </c>
      <c r="AF253" s="0" t="s">
        <v>1594</v>
      </c>
      <c r="AG253" s="0" t="s">
        <v>1595</v>
      </c>
      <c r="AH253" s="0" t="s">
        <v>1596</v>
      </c>
      <c r="AI253" s="0" t="s">
        <v>46</v>
      </c>
      <c r="AJ253" s="0" t="s">
        <v>46</v>
      </c>
      <c r="AK253" s="0" t="s">
        <v>46</v>
      </c>
      <c r="AL253" s="0" t="s">
        <v>46</v>
      </c>
    </row>
    <row r="254" s="2" customFormat="true" ht="15" hidden="false" customHeight="false" outlineLevel="0" collapsed="false">
      <c r="B254" s="2" t="str">
        <f aca="false">HYPERLINK("https://genome.ucsc.edu/cgi-bin/hgTracks?db=hg19&amp;position=chr2%3A179494246%2D179494246", "chr2:179494246")</f>
        <v>chr2:179494246</v>
      </c>
      <c r="C254" s="2" t="s">
        <v>71</v>
      </c>
      <c r="D254" s="2" t="n">
        <v>179494246</v>
      </c>
      <c r="E254" s="2" t="n">
        <v>179494246</v>
      </c>
      <c r="F254" s="2" t="s">
        <v>57</v>
      </c>
      <c r="G254" s="2" t="s">
        <v>39</v>
      </c>
      <c r="H254" s="2" t="s">
        <v>1597</v>
      </c>
      <c r="I254" s="2" t="s">
        <v>1063</v>
      </c>
      <c r="J254" s="2" t="s">
        <v>1598</v>
      </c>
      <c r="K254" s="2" t="s">
        <v>46</v>
      </c>
      <c r="L254" s="2" t="s">
        <v>46</v>
      </c>
      <c r="M254" s="2" t="str">
        <f aca="false">HYPERLINK("https://www.genecards.org/Search/Keyword?queryString=%5Baliases%5D(%20MIR548N%20)%20OR%20%5Baliases%5D(%20TTN%20)&amp;keywords=MIR548N,TTN", "MIR548N;TTN")</f>
        <v>MIR548N;TTN</v>
      </c>
      <c r="N254" s="2" t="s">
        <v>306</v>
      </c>
      <c r="O254" s="2" t="s">
        <v>46</v>
      </c>
      <c r="P254" s="2" t="s">
        <v>46</v>
      </c>
      <c r="Q254" s="2" t="n">
        <v>0.0013</v>
      </c>
      <c r="R254" s="2" t="n">
        <v>0.0013</v>
      </c>
      <c r="S254" s="2" t="n">
        <v>0.0013</v>
      </c>
      <c r="T254" s="2" t="n">
        <v>-1</v>
      </c>
      <c r="U254" s="2" t="n">
        <v>0.0022</v>
      </c>
      <c r="V254" s="2" t="s">
        <v>46</v>
      </c>
      <c r="W254" s="2" t="s">
        <v>46</v>
      </c>
      <c r="X254" s="2" t="s">
        <v>307</v>
      </c>
      <c r="Y254" s="2" t="s">
        <v>48</v>
      </c>
      <c r="Z254" s="2" t="s">
        <v>46</v>
      </c>
      <c r="AA254" s="2" t="s">
        <v>46</v>
      </c>
      <c r="AB254" s="2" t="s">
        <v>46</v>
      </c>
      <c r="AC254" s="2" t="s">
        <v>50</v>
      </c>
      <c r="AD254" s="2" t="s">
        <v>750</v>
      </c>
      <c r="AE254" s="2" t="s">
        <v>1599</v>
      </c>
      <c r="AF254" s="2" t="s">
        <v>1600</v>
      </c>
      <c r="AG254" s="2" t="s">
        <v>1601</v>
      </c>
      <c r="AH254" s="2" t="s">
        <v>1602</v>
      </c>
      <c r="AI254" s="2" t="s">
        <v>46</v>
      </c>
      <c r="AJ254" s="2" t="s">
        <v>46</v>
      </c>
      <c r="AK254" s="2" t="s">
        <v>46</v>
      </c>
      <c r="AL254" s="2" t="s">
        <v>46</v>
      </c>
    </row>
    <row r="255" s="2" customFormat="true" ht="15" hidden="false" customHeight="false" outlineLevel="0" collapsed="false">
      <c r="B255" s="2" t="str">
        <f aca="false">HYPERLINK("https://genome.ucsc.edu/cgi-bin/hgTracks?db=hg19&amp;position=chr2%3A179553731%2D179553733", "chr2:179553731")</f>
        <v>chr2:179553731</v>
      </c>
      <c r="C255" s="2" t="s">
        <v>71</v>
      </c>
      <c r="D255" s="2" t="n">
        <v>179553731</v>
      </c>
      <c r="E255" s="2" t="n">
        <v>179553733</v>
      </c>
      <c r="F255" s="2" t="s">
        <v>1603</v>
      </c>
      <c r="G255" s="2" t="s">
        <v>185</v>
      </c>
      <c r="H255" s="2" t="s">
        <v>1604</v>
      </c>
      <c r="I255" s="2" t="s">
        <v>872</v>
      </c>
      <c r="J255" s="2" t="s">
        <v>1605</v>
      </c>
      <c r="K255" s="2" t="s">
        <v>46</v>
      </c>
      <c r="L255" s="2" t="str">
        <f aca="false">HYPERLINK("https://www.ncbi.nlm.nih.gov/snp/rs772449066", "rs772449066")</f>
        <v>rs772449066</v>
      </c>
      <c r="M255" s="2" t="str">
        <f aca="false">HYPERLINK("https://www.genecards.org/Search/Keyword?queryString=%5Baliases%5D(%20TTN%20)&amp;keywords=TTN", "TTN")</f>
        <v>TTN</v>
      </c>
      <c r="N255" s="2" t="s">
        <v>306</v>
      </c>
      <c r="O255" s="2" t="s">
        <v>46</v>
      </c>
      <c r="P255" s="2" t="s">
        <v>46</v>
      </c>
      <c r="Q255" s="2" t="n">
        <v>6.5E-006</v>
      </c>
      <c r="R255" s="2" t="n">
        <v>-1</v>
      </c>
      <c r="S255" s="2" t="n">
        <v>-1</v>
      </c>
      <c r="T255" s="2" t="n">
        <v>-1</v>
      </c>
      <c r="U255" s="2" t="n">
        <v>-1</v>
      </c>
      <c r="V255" s="2" t="s">
        <v>46</v>
      </c>
      <c r="W255" s="2" t="s">
        <v>46</v>
      </c>
      <c r="X255" s="2" t="s">
        <v>46</v>
      </c>
      <c r="Y255" s="2" t="s">
        <v>46</v>
      </c>
      <c r="Z255" s="2" t="s">
        <v>46</v>
      </c>
      <c r="AA255" s="2" t="s">
        <v>46</v>
      </c>
      <c r="AB255" s="2" t="s">
        <v>46</v>
      </c>
      <c r="AC255" s="2" t="s">
        <v>50</v>
      </c>
      <c r="AD255" s="2" t="s">
        <v>385</v>
      </c>
      <c r="AE255" s="2" t="s">
        <v>1599</v>
      </c>
      <c r="AF255" s="2" t="s">
        <v>1606</v>
      </c>
      <c r="AG255" s="2" t="s">
        <v>1601</v>
      </c>
      <c r="AH255" s="2" t="s">
        <v>1602</v>
      </c>
      <c r="AI255" s="2" t="s">
        <v>46</v>
      </c>
      <c r="AJ255" s="2" t="s">
        <v>46</v>
      </c>
      <c r="AK255" s="2" t="s">
        <v>46</v>
      </c>
      <c r="AL255" s="2" t="s">
        <v>46</v>
      </c>
    </row>
    <row r="256" s="2" customFormat="true" ht="15" hidden="false" customHeight="false" outlineLevel="0" collapsed="false">
      <c r="B256" s="2" t="str">
        <f aca="false">HYPERLINK("https://genome.ucsc.edu/cgi-bin/hgTracks?db=hg19&amp;position=chr2%3A179618545%2D179618545", "chr2:179618545")</f>
        <v>chr2:179618545</v>
      </c>
      <c r="C256" s="2" t="s">
        <v>71</v>
      </c>
      <c r="D256" s="2" t="n">
        <v>179618545</v>
      </c>
      <c r="E256" s="2" t="n">
        <v>179618545</v>
      </c>
      <c r="F256" s="2" t="s">
        <v>82</v>
      </c>
      <c r="G256" s="2" t="s">
        <v>40</v>
      </c>
      <c r="H256" s="2" t="s">
        <v>475</v>
      </c>
      <c r="I256" s="2" t="s">
        <v>1607</v>
      </c>
      <c r="J256" s="2" t="s">
        <v>1608</v>
      </c>
      <c r="K256" s="2" t="s">
        <v>46</v>
      </c>
      <c r="L256" s="2" t="s">
        <v>46</v>
      </c>
      <c r="M256" s="2" t="str">
        <f aca="false">HYPERLINK("https://www.genecards.org/Search/Keyword?queryString=%5Baliases%5D(%20TTN%20)&amp;keywords=TTN", "TTN")</f>
        <v>TTN</v>
      </c>
      <c r="N256" s="2" t="s">
        <v>306</v>
      </c>
      <c r="O256" s="2" t="s">
        <v>46</v>
      </c>
      <c r="P256" s="2" t="s">
        <v>46</v>
      </c>
      <c r="Q256" s="2" t="n">
        <v>0.0013</v>
      </c>
      <c r="R256" s="2" t="n">
        <v>0.0013</v>
      </c>
      <c r="S256" s="2" t="n">
        <v>0.0013</v>
      </c>
      <c r="T256" s="2" t="n">
        <v>-1</v>
      </c>
      <c r="U256" s="2" t="n">
        <v>0.0022</v>
      </c>
      <c r="V256" s="2" t="s">
        <v>46</v>
      </c>
      <c r="W256" s="2" t="s">
        <v>46</v>
      </c>
      <c r="X256" s="2" t="s">
        <v>46</v>
      </c>
      <c r="Y256" s="2" t="s">
        <v>46</v>
      </c>
      <c r="Z256" s="2" t="s">
        <v>46</v>
      </c>
      <c r="AA256" s="2" t="s">
        <v>46</v>
      </c>
      <c r="AB256" s="2" t="s">
        <v>46</v>
      </c>
      <c r="AC256" s="2" t="s">
        <v>50</v>
      </c>
      <c r="AD256" s="2" t="s">
        <v>385</v>
      </c>
      <c r="AE256" s="2" t="s">
        <v>1599</v>
      </c>
      <c r="AF256" s="2" t="s">
        <v>1606</v>
      </c>
      <c r="AG256" s="2" t="s">
        <v>1601</v>
      </c>
      <c r="AH256" s="2" t="s">
        <v>1602</v>
      </c>
      <c r="AI256" s="2" t="s">
        <v>46</v>
      </c>
      <c r="AJ256" s="2" t="s">
        <v>46</v>
      </c>
      <c r="AK256" s="2" t="s">
        <v>46</v>
      </c>
      <c r="AL256" s="2" t="s">
        <v>46</v>
      </c>
    </row>
    <row r="257" customFormat="false" ht="15" hidden="false" customHeight="false" outlineLevel="0" collapsed="false">
      <c r="B257" s="0" t="str">
        <f aca="false">HYPERLINK("https://genome.ucsc.edu/cgi-bin/hgTracks?db=hg19&amp;position=chr2%3A183608459%2D183608459", "chr2:183608459")</f>
        <v>chr2:183608459</v>
      </c>
      <c r="C257" s="0" t="s">
        <v>71</v>
      </c>
      <c r="D257" s="0" t="n">
        <v>183608459</v>
      </c>
      <c r="E257" s="0" t="n">
        <v>183608459</v>
      </c>
      <c r="F257" s="0" t="s">
        <v>57</v>
      </c>
      <c r="G257" s="0" t="s">
        <v>39</v>
      </c>
      <c r="H257" s="0" t="s">
        <v>1609</v>
      </c>
      <c r="I257" s="0" t="s">
        <v>296</v>
      </c>
      <c r="J257" s="0" t="s">
        <v>1610</v>
      </c>
      <c r="K257" s="0" t="s">
        <v>46</v>
      </c>
      <c r="L257" s="0" t="str">
        <f aca="false">HYPERLINK("https://www.ncbi.nlm.nih.gov/snp/rs748192603", "rs748192603")</f>
        <v>rs748192603</v>
      </c>
      <c r="M257" s="0" t="str">
        <f aca="false">HYPERLINK("https://www.genecards.org/Search/Keyword?queryString=%5Baliases%5D(%20DNAJC10%20)&amp;keywords=DNAJC10", "DNAJC10")</f>
        <v>DNAJC10</v>
      </c>
      <c r="N257" s="0" t="s">
        <v>45</v>
      </c>
      <c r="O257" s="0" t="s">
        <v>46</v>
      </c>
      <c r="P257" s="0" t="s">
        <v>46</v>
      </c>
      <c r="Q257" s="0" t="n">
        <v>1.29E-005</v>
      </c>
      <c r="R257" s="0" t="n">
        <v>-1</v>
      </c>
      <c r="S257" s="0" t="n">
        <v>-1</v>
      </c>
      <c r="T257" s="0" t="n">
        <v>-1</v>
      </c>
      <c r="U257" s="0" t="n">
        <v>-1</v>
      </c>
      <c r="V257" s="0" t="s">
        <v>46</v>
      </c>
      <c r="W257" s="0" t="s">
        <v>46</v>
      </c>
      <c r="X257" s="0" t="s">
        <v>47</v>
      </c>
      <c r="Y257" s="0" t="s">
        <v>48</v>
      </c>
      <c r="Z257" s="0" t="s">
        <v>46</v>
      </c>
      <c r="AA257" s="0" t="s">
        <v>46</v>
      </c>
      <c r="AB257" s="0" t="s">
        <v>46</v>
      </c>
      <c r="AC257" s="0" t="s">
        <v>50</v>
      </c>
      <c r="AD257" s="0" t="s">
        <v>51</v>
      </c>
      <c r="AE257" s="0" t="s">
        <v>1611</v>
      </c>
      <c r="AF257" s="0" t="s">
        <v>1612</v>
      </c>
      <c r="AG257" s="0" t="s">
        <v>1613</v>
      </c>
      <c r="AH257" s="0" t="s">
        <v>46</v>
      </c>
      <c r="AI257" s="0" t="s">
        <v>46</v>
      </c>
      <c r="AJ257" s="0" t="s">
        <v>46</v>
      </c>
      <c r="AK257" s="0" t="s">
        <v>46</v>
      </c>
      <c r="AL257" s="0" t="s">
        <v>46</v>
      </c>
    </row>
    <row r="258" customFormat="false" ht="15" hidden="false" customHeight="false" outlineLevel="0" collapsed="false">
      <c r="B258" s="0" t="str">
        <f aca="false">HYPERLINK("https://genome.ucsc.edu/cgi-bin/hgTracks?db=hg19&amp;position=chr2%3A183806893%2D183806893", "chr2:183806893")</f>
        <v>chr2:183806893</v>
      </c>
      <c r="C258" s="0" t="s">
        <v>71</v>
      </c>
      <c r="D258" s="0" t="n">
        <v>183806893</v>
      </c>
      <c r="E258" s="0" t="n">
        <v>183806893</v>
      </c>
      <c r="F258" s="0" t="s">
        <v>185</v>
      </c>
      <c r="G258" s="0" t="s">
        <v>57</v>
      </c>
      <c r="H258" s="0" t="s">
        <v>1614</v>
      </c>
      <c r="I258" s="0" t="s">
        <v>375</v>
      </c>
      <c r="J258" s="0" t="s">
        <v>1615</v>
      </c>
      <c r="K258" s="0" t="s">
        <v>46</v>
      </c>
      <c r="L258" s="0" t="str">
        <f aca="false">HYPERLINK("https://www.ncbi.nlm.nih.gov/snp/rs775708725", "rs775708725")</f>
        <v>rs775708725</v>
      </c>
      <c r="M258" s="0" t="str">
        <f aca="false">HYPERLINK("https://www.genecards.org/Search/Keyword?queryString=%5Baliases%5D(%20NCKAP1%20)&amp;keywords=NCKAP1", "NCKAP1")</f>
        <v>NCKAP1</v>
      </c>
      <c r="N258" s="0" t="s">
        <v>602</v>
      </c>
      <c r="O258" s="0" t="s">
        <v>46</v>
      </c>
      <c r="P258" s="0" t="s">
        <v>1616</v>
      </c>
      <c r="Q258" s="0" t="n">
        <v>0.0039521</v>
      </c>
      <c r="R258" s="0" t="n">
        <v>0.0002</v>
      </c>
      <c r="S258" s="0" t="n">
        <v>0.0002</v>
      </c>
      <c r="T258" s="0" t="n">
        <v>-1</v>
      </c>
      <c r="U258" s="0" t="n">
        <v>0.0002</v>
      </c>
      <c r="V258" s="0" t="s">
        <v>46</v>
      </c>
      <c r="W258" s="0" t="s">
        <v>46</v>
      </c>
      <c r="X258" s="0" t="s">
        <v>46</v>
      </c>
      <c r="Y258" s="0" t="s">
        <v>46</v>
      </c>
      <c r="Z258" s="0" t="s">
        <v>46</v>
      </c>
      <c r="AA258" s="0" t="s">
        <v>46</v>
      </c>
      <c r="AB258" s="0" t="s">
        <v>46</v>
      </c>
      <c r="AC258" s="0" t="s">
        <v>50</v>
      </c>
      <c r="AD258" s="0" t="s">
        <v>51</v>
      </c>
      <c r="AE258" s="0" t="s">
        <v>1617</v>
      </c>
      <c r="AF258" s="0" t="s">
        <v>1618</v>
      </c>
      <c r="AG258" s="0" t="s">
        <v>1619</v>
      </c>
      <c r="AH258" s="0" t="s">
        <v>46</v>
      </c>
      <c r="AI258" s="0" t="s">
        <v>46</v>
      </c>
      <c r="AJ258" s="0" t="s">
        <v>46</v>
      </c>
      <c r="AK258" s="0" t="s">
        <v>46</v>
      </c>
      <c r="AL258" s="0" t="s">
        <v>46</v>
      </c>
    </row>
    <row r="259" customFormat="false" ht="15" hidden="false" customHeight="false" outlineLevel="0" collapsed="false">
      <c r="B259" s="0" t="str">
        <f aca="false">HYPERLINK("https://genome.ucsc.edu/cgi-bin/hgTracks?db=hg19&amp;position=chr2%3A206037224%2D206037224", "chr2:206037224")</f>
        <v>chr2:206037224</v>
      </c>
      <c r="C259" s="0" t="s">
        <v>71</v>
      </c>
      <c r="D259" s="0" t="n">
        <v>206037224</v>
      </c>
      <c r="E259" s="0" t="n">
        <v>206037224</v>
      </c>
      <c r="F259" s="0" t="s">
        <v>82</v>
      </c>
      <c r="G259" s="0" t="s">
        <v>57</v>
      </c>
      <c r="H259" s="0" t="s">
        <v>1620</v>
      </c>
      <c r="I259" s="0" t="s">
        <v>677</v>
      </c>
      <c r="J259" s="0" t="s">
        <v>678</v>
      </c>
      <c r="K259" s="0" t="s">
        <v>46</v>
      </c>
      <c r="L259" s="0" t="str">
        <f aca="false">HYPERLINK("https://www.ncbi.nlm.nih.gov/snp/rs772804067", "rs772804067")</f>
        <v>rs772804067</v>
      </c>
      <c r="M259" s="0" t="str">
        <f aca="false">HYPERLINK("https://www.genecards.org/Search/Keyword?queryString=%5Baliases%5D(%20PARD3B%20)&amp;keywords=PARD3B", "PARD3B")</f>
        <v>PARD3B</v>
      </c>
      <c r="N259" s="0" t="s">
        <v>45</v>
      </c>
      <c r="O259" s="0" t="s">
        <v>46</v>
      </c>
      <c r="P259" s="0" t="s">
        <v>46</v>
      </c>
      <c r="Q259" s="0" t="n">
        <v>3.84E-005</v>
      </c>
      <c r="R259" s="0" t="n">
        <v>-1</v>
      </c>
      <c r="S259" s="0" t="n">
        <v>-1</v>
      </c>
      <c r="T259" s="0" t="n">
        <v>-1</v>
      </c>
      <c r="U259" s="0" t="n">
        <v>-1</v>
      </c>
      <c r="V259" s="0" t="s">
        <v>46</v>
      </c>
      <c r="W259" s="0" t="s">
        <v>46</v>
      </c>
      <c r="X259" s="0" t="s">
        <v>354</v>
      </c>
      <c r="Y259" s="0" t="s">
        <v>48</v>
      </c>
      <c r="Z259" s="0" t="s">
        <v>46</v>
      </c>
      <c r="AA259" s="0" t="s">
        <v>46</v>
      </c>
      <c r="AB259" s="0" t="s">
        <v>46</v>
      </c>
      <c r="AC259" s="0" t="s">
        <v>50</v>
      </c>
      <c r="AD259" s="0" t="s">
        <v>51</v>
      </c>
      <c r="AE259" s="0" t="s">
        <v>1621</v>
      </c>
      <c r="AF259" s="0" t="s">
        <v>1622</v>
      </c>
      <c r="AG259" s="0" t="s">
        <v>1623</v>
      </c>
      <c r="AH259" s="0" t="s">
        <v>46</v>
      </c>
      <c r="AI259" s="0" t="s">
        <v>46</v>
      </c>
      <c r="AJ259" s="0" t="s">
        <v>46</v>
      </c>
      <c r="AK259" s="0" t="s">
        <v>46</v>
      </c>
      <c r="AL259" s="0" t="s">
        <v>46</v>
      </c>
    </row>
    <row r="260" customFormat="false" ht="15" hidden="false" customHeight="false" outlineLevel="0" collapsed="false">
      <c r="B260" s="0" t="str">
        <f aca="false">HYPERLINK("https://genome.ucsc.edu/cgi-bin/hgTracks?db=hg19&amp;position=chr2%3A211069258%2D211069258", "chr2:211069258")</f>
        <v>chr2:211069258</v>
      </c>
      <c r="C260" s="0" t="s">
        <v>71</v>
      </c>
      <c r="D260" s="0" t="n">
        <v>211069258</v>
      </c>
      <c r="E260" s="0" t="n">
        <v>211069258</v>
      </c>
      <c r="F260" s="0" t="s">
        <v>40</v>
      </c>
      <c r="G260" s="0" t="s">
        <v>39</v>
      </c>
      <c r="H260" s="0" t="s">
        <v>951</v>
      </c>
      <c r="I260" s="0" t="s">
        <v>1055</v>
      </c>
      <c r="J260" s="0" t="s">
        <v>1624</v>
      </c>
      <c r="K260" s="0" t="s">
        <v>46</v>
      </c>
      <c r="L260" s="0" t="str">
        <f aca="false">HYPERLINK("https://www.ncbi.nlm.nih.gov/snp/rs76895231", "rs76895231")</f>
        <v>rs76895231</v>
      </c>
      <c r="M260" s="0" t="str">
        <f aca="false">HYPERLINK("https://www.genecards.org/Search/Keyword?queryString=%5Baliases%5D(%20ACADL%20)&amp;keywords=ACADL", "ACADL")</f>
        <v>ACADL</v>
      </c>
      <c r="N260" s="0" t="s">
        <v>306</v>
      </c>
      <c r="O260" s="0" t="s">
        <v>46</v>
      </c>
      <c r="P260" s="0" t="s">
        <v>46</v>
      </c>
      <c r="Q260" s="0" t="n">
        <v>0.0055</v>
      </c>
      <c r="R260" s="0" t="n">
        <v>0.0041</v>
      </c>
      <c r="S260" s="0" t="n">
        <v>0.0039</v>
      </c>
      <c r="T260" s="0" t="n">
        <v>-1</v>
      </c>
      <c r="U260" s="0" t="n">
        <v>0.0056</v>
      </c>
      <c r="V260" s="0" t="s">
        <v>46</v>
      </c>
      <c r="W260" s="0" t="s">
        <v>46</v>
      </c>
      <c r="X260" s="0" t="s">
        <v>307</v>
      </c>
      <c r="Y260" s="0" t="s">
        <v>48</v>
      </c>
      <c r="Z260" s="0" t="s">
        <v>46</v>
      </c>
      <c r="AA260" s="0" t="s">
        <v>46</v>
      </c>
      <c r="AB260" s="0" t="s">
        <v>46</v>
      </c>
      <c r="AC260" s="0" t="s">
        <v>50</v>
      </c>
      <c r="AD260" s="0" t="s">
        <v>51</v>
      </c>
      <c r="AE260" s="0" t="s">
        <v>1625</v>
      </c>
      <c r="AF260" s="0" t="s">
        <v>1626</v>
      </c>
      <c r="AG260" s="0" t="s">
        <v>46</v>
      </c>
      <c r="AH260" s="0" t="s">
        <v>1627</v>
      </c>
      <c r="AI260" s="0" t="s">
        <v>46</v>
      </c>
      <c r="AJ260" s="0" t="s">
        <v>46</v>
      </c>
      <c r="AK260" s="0" t="s">
        <v>46</v>
      </c>
      <c r="AL260" s="0" t="s">
        <v>46</v>
      </c>
    </row>
    <row r="261" customFormat="false" ht="15" hidden="false" customHeight="false" outlineLevel="0" collapsed="false">
      <c r="B261" s="0" t="str">
        <f aca="false">HYPERLINK("https://genome.ucsc.edu/cgi-bin/hgTracks?db=hg19&amp;position=chr2%3A231222447%2D231222447", "chr2:231222447")</f>
        <v>chr2:231222447</v>
      </c>
      <c r="C261" s="0" t="s">
        <v>71</v>
      </c>
      <c r="D261" s="0" t="n">
        <v>231222447</v>
      </c>
      <c r="E261" s="0" t="n">
        <v>231222447</v>
      </c>
      <c r="F261" s="0" t="s">
        <v>57</v>
      </c>
      <c r="G261" s="0" t="s">
        <v>39</v>
      </c>
      <c r="H261" s="0" t="s">
        <v>1628</v>
      </c>
      <c r="I261" s="0" t="s">
        <v>1367</v>
      </c>
      <c r="J261" s="0" t="s">
        <v>1629</v>
      </c>
      <c r="K261" s="0" t="s">
        <v>46</v>
      </c>
      <c r="L261" s="0" t="str">
        <f aca="false">HYPERLINK("https://www.ncbi.nlm.nih.gov/snp/rs76627271", "rs76627271")</f>
        <v>rs76627271</v>
      </c>
      <c r="M261" s="0" t="str">
        <f aca="false">HYPERLINK("https://www.genecards.org/Search/Keyword?queryString=%5Baliases%5D(%20SP140L%20)&amp;keywords=SP140L", "SP140L")</f>
        <v>SP140L</v>
      </c>
      <c r="N261" s="0" t="s">
        <v>45</v>
      </c>
      <c r="O261" s="0" t="s">
        <v>46</v>
      </c>
      <c r="P261" s="0" t="s">
        <v>46</v>
      </c>
      <c r="Q261" s="0" t="n">
        <v>0.0239</v>
      </c>
      <c r="R261" s="0" t="n">
        <v>0.016</v>
      </c>
      <c r="S261" s="0" t="n">
        <v>0.0184</v>
      </c>
      <c r="T261" s="0" t="n">
        <v>-1</v>
      </c>
      <c r="U261" s="0" t="n">
        <v>0.0156</v>
      </c>
      <c r="V261" s="0" t="s">
        <v>46</v>
      </c>
      <c r="W261" s="0" t="s">
        <v>46</v>
      </c>
      <c r="X261" s="0" t="s">
        <v>47</v>
      </c>
      <c r="Y261" s="0" t="s">
        <v>48</v>
      </c>
      <c r="Z261" s="0" t="s">
        <v>46</v>
      </c>
      <c r="AA261" s="0" t="s">
        <v>46</v>
      </c>
      <c r="AB261" s="0" t="s">
        <v>46</v>
      </c>
      <c r="AC261" s="0" t="s">
        <v>50</v>
      </c>
      <c r="AD261" s="0" t="s">
        <v>51</v>
      </c>
      <c r="AE261" s="0" t="s">
        <v>1630</v>
      </c>
      <c r="AF261" s="0" t="s">
        <v>1631</v>
      </c>
      <c r="AG261" s="0" t="s">
        <v>46</v>
      </c>
      <c r="AH261" s="0" t="s">
        <v>46</v>
      </c>
      <c r="AI261" s="0" t="s">
        <v>46</v>
      </c>
      <c r="AJ261" s="0" t="s">
        <v>46</v>
      </c>
      <c r="AK261" s="0" t="s">
        <v>46</v>
      </c>
      <c r="AL261" s="0" t="s">
        <v>46</v>
      </c>
    </row>
    <row r="262" customFormat="false" ht="15" hidden="false" customHeight="false" outlineLevel="0" collapsed="false">
      <c r="B262" s="0" t="str">
        <f aca="false">HYPERLINK("https://genome.ucsc.edu/cgi-bin/hgTracks?db=hg19&amp;position=chr2%3A232656541%2D232656541", "chr2:232656541")</f>
        <v>chr2:232656541</v>
      </c>
      <c r="C262" s="0" t="s">
        <v>71</v>
      </c>
      <c r="D262" s="0" t="n">
        <v>232656541</v>
      </c>
      <c r="E262" s="0" t="n">
        <v>232656541</v>
      </c>
      <c r="F262" s="0" t="s">
        <v>57</v>
      </c>
      <c r="G262" s="0" t="s">
        <v>39</v>
      </c>
      <c r="H262" s="0" t="s">
        <v>1519</v>
      </c>
      <c r="I262" s="0" t="s">
        <v>216</v>
      </c>
      <c r="J262" s="0" t="s">
        <v>1632</v>
      </c>
      <c r="K262" s="0" t="s">
        <v>46</v>
      </c>
      <c r="L262" s="0" t="str">
        <f aca="false">HYPERLINK("https://www.ncbi.nlm.nih.gov/snp/rs773275390", "rs773275390")</f>
        <v>rs773275390</v>
      </c>
      <c r="M262" s="0" t="str">
        <f aca="false">HYPERLINK("https://www.genecards.org/Search/Keyword?queryString=%5Baliases%5D(%20COPS7B%20)&amp;keywords=COPS7B", "COPS7B")</f>
        <v>COPS7B</v>
      </c>
      <c r="N262" s="0" t="s">
        <v>45</v>
      </c>
      <c r="O262" s="0" t="s">
        <v>46</v>
      </c>
      <c r="P262" s="0" t="s">
        <v>46</v>
      </c>
      <c r="Q262" s="0" t="n">
        <v>6.5E-006</v>
      </c>
      <c r="R262" s="0" t="n">
        <v>-1</v>
      </c>
      <c r="S262" s="0" t="n">
        <v>-1</v>
      </c>
      <c r="T262" s="0" t="n">
        <v>-1</v>
      </c>
      <c r="U262" s="0" t="n">
        <v>-1</v>
      </c>
      <c r="V262" s="0" t="s">
        <v>46</v>
      </c>
      <c r="W262" s="0" t="s">
        <v>46</v>
      </c>
      <c r="X262" s="0" t="s">
        <v>47</v>
      </c>
      <c r="Y262" s="0" t="s">
        <v>48</v>
      </c>
      <c r="Z262" s="0" t="s">
        <v>46</v>
      </c>
      <c r="AA262" s="0" t="s">
        <v>46</v>
      </c>
      <c r="AB262" s="0" t="s">
        <v>46</v>
      </c>
      <c r="AC262" s="0" t="s">
        <v>50</v>
      </c>
      <c r="AD262" s="0" t="s">
        <v>51</v>
      </c>
      <c r="AE262" s="0" t="s">
        <v>1633</v>
      </c>
      <c r="AF262" s="0" t="s">
        <v>1634</v>
      </c>
      <c r="AG262" s="0" t="s">
        <v>1635</v>
      </c>
      <c r="AH262" s="0" t="s">
        <v>46</v>
      </c>
      <c r="AI262" s="0" t="s">
        <v>46</v>
      </c>
      <c r="AJ262" s="0" t="s">
        <v>46</v>
      </c>
      <c r="AK262" s="0" t="s">
        <v>46</v>
      </c>
      <c r="AL262" s="0" t="s">
        <v>46</v>
      </c>
    </row>
    <row r="263" customFormat="false" ht="15" hidden="false" customHeight="false" outlineLevel="0" collapsed="false">
      <c r="B263" s="0" t="str">
        <f aca="false">HYPERLINK("https://genome.ucsc.edu/cgi-bin/hgTracks?db=hg19&amp;position=chr2%3A239155207%2D239155208", "chr2:239155207")</f>
        <v>chr2:239155207</v>
      </c>
      <c r="C263" s="0" t="s">
        <v>71</v>
      </c>
      <c r="D263" s="0" t="n">
        <v>239155207</v>
      </c>
      <c r="E263" s="0" t="n">
        <v>239155208</v>
      </c>
      <c r="F263" s="0" t="s">
        <v>939</v>
      </c>
      <c r="G263" s="0" t="s">
        <v>185</v>
      </c>
      <c r="H263" s="0" t="s">
        <v>1636</v>
      </c>
      <c r="I263" s="0" t="s">
        <v>1063</v>
      </c>
      <c r="J263" s="0" t="s">
        <v>1637</v>
      </c>
      <c r="K263" s="0" t="s">
        <v>46</v>
      </c>
      <c r="L263" s="0" t="str">
        <f aca="false">HYPERLINK("https://www.ncbi.nlm.nih.gov/snp/rs558518376", "rs558518376")</f>
        <v>rs558518376</v>
      </c>
      <c r="M263" s="0" t="str">
        <f aca="false">HYPERLINK("https://www.genecards.org/Search/Keyword?queryString=%5Baliases%5D(%20PER2%20)&amp;keywords=PER2", "PER2")</f>
        <v>PER2</v>
      </c>
      <c r="N263" s="0" t="s">
        <v>306</v>
      </c>
      <c r="O263" s="0" t="s">
        <v>46</v>
      </c>
      <c r="P263" s="0" t="s">
        <v>46</v>
      </c>
      <c r="Q263" s="0" t="n">
        <v>0.007</v>
      </c>
      <c r="R263" s="0" t="n">
        <v>0.0063</v>
      </c>
      <c r="S263" s="0" t="n">
        <v>0.0062</v>
      </c>
      <c r="T263" s="0" t="n">
        <v>-1</v>
      </c>
      <c r="U263" s="0" t="n">
        <v>0.0069</v>
      </c>
      <c r="V263" s="0" t="s">
        <v>46</v>
      </c>
      <c r="W263" s="0" t="s">
        <v>46</v>
      </c>
      <c r="X263" s="0" t="s">
        <v>46</v>
      </c>
      <c r="Y263" s="0" t="s">
        <v>46</v>
      </c>
      <c r="Z263" s="0" t="s">
        <v>46</v>
      </c>
      <c r="AA263" s="0" t="s">
        <v>46</v>
      </c>
      <c r="AB263" s="0" t="s">
        <v>46</v>
      </c>
      <c r="AC263" s="0" t="s">
        <v>50</v>
      </c>
      <c r="AD263" s="0" t="s">
        <v>51</v>
      </c>
      <c r="AE263" s="0" t="s">
        <v>1638</v>
      </c>
      <c r="AF263" s="0" t="s">
        <v>1639</v>
      </c>
      <c r="AG263" s="0" t="s">
        <v>1640</v>
      </c>
      <c r="AH263" s="0" t="s">
        <v>1641</v>
      </c>
      <c r="AI263" s="0" t="s">
        <v>46</v>
      </c>
      <c r="AJ263" s="0" t="s">
        <v>46</v>
      </c>
      <c r="AK263" s="0" t="s">
        <v>46</v>
      </c>
      <c r="AL263" s="0" t="s">
        <v>46</v>
      </c>
    </row>
    <row r="264" customFormat="false" ht="15" hidden="false" customHeight="false" outlineLevel="0" collapsed="false">
      <c r="B264" s="0" t="str">
        <f aca="false">HYPERLINK("https://genome.ucsc.edu/cgi-bin/hgTracks?db=hg19&amp;position=chr20%3A5975128%2D5975128", "chr20:5975128")</f>
        <v>chr20:5975128</v>
      </c>
      <c r="C264" s="0" t="s">
        <v>152</v>
      </c>
      <c r="D264" s="0" t="n">
        <v>5975128</v>
      </c>
      <c r="E264" s="0" t="n">
        <v>5975128</v>
      </c>
      <c r="F264" s="0" t="s">
        <v>185</v>
      </c>
      <c r="G264" s="0" t="s">
        <v>1642</v>
      </c>
      <c r="H264" s="0" t="s">
        <v>1643</v>
      </c>
      <c r="I264" s="0" t="s">
        <v>976</v>
      </c>
      <c r="J264" s="0" t="s">
        <v>1644</v>
      </c>
      <c r="K264" s="0" t="s">
        <v>46</v>
      </c>
      <c r="L264" s="0" t="s">
        <v>46</v>
      </c>
      <c r="M264" s="0" t="str">
        <f aca="false">HYPERLINK("https://www.genecards.org/Search/Keyword?queryString=%5Baliases%5D(%20MCM8%20)%20OR%20%5Baliases%5D(%20MCM8-AS1%20)&amp;keywords=MCM8,MCM8-AS1", "MCM8;MCM8-AS1")</f>
        <v>MCM8;MCM8-AS1</v>
      </c>
      <c r="N264" s="0" t="s">
        <v>208</v>
      </c>
      <c r="O264" s="0" t="s">
        <v>46</v>
      </c>
      <c r="P264" s="0" t="s">
        <v>1645</v>
      </c>
      <c r="Q264" s="0" t="n">
        <v>-1</v>
      </c>
      <c r="R264" s="0" t="n">
        <v>-1</v>
      </c>
      <c r="S264" s="0" t="n">
        <v>-1</v>
      </c>
      <c r="T264" s="0" t="n">
        <v>-1</v>
      </c>
      <c r="U264" s="0" t="n">
        <v>-1</v>
      </c>
      <c r="V264" s="0" t="s">
        <v>46</v>
      </c>
      <c r="W264" s="0" t="s">
        <v>46</v>
      </c>
      <c r="X264" s="0" t="s">
        <v>46</v>
      </c>
      <c r="Y264" s="0" t="s">
        <v>46</v>
      </c>
      <c r="Z264" s="0" t="s">
        <v>46</v>
      </c>
      <c r="AA264" s="0" t="s">
        <v>46</v>
      </c>
      <c r="AB264" s="0" t="s">
        <v>46</v>
      </c>
      <c r="AC264" s="0" t="s">
        <v>254</v>
      </c>
      <c r="AD264" s="0" t="s">
        <v>191</v>
      </c>
      <c r="AE264" s="0" t="s">
        <v>1646</v>
      </c>
      <c r="AF264" s="0" t="s">
        <v>1647</v>
      </c>
      <c r="AG264" s="0" t="s">
        <v>1648</v>
      </c>
      <c r="AH264" s="0" t="s">
        <v>1649</v>
      </c>
      <c r="AI264" s="0" t="s">
        <v>46</v>
      </c>
      <c r="AJ264" s="0" t="s">
        <v>46</v>
      </c>
      <c r="AK264" s="0" t="s">
        <v>46</v>
      </c>
      <c r="AL264" s="0" t="s">
        <v>46</v>
      </c>
    </row>
    <row r="265" customFormat="false" ht="15" hidden="false" customHeight="false" outlineLevel="0" collapsed="false">
      <c r="B265" s="0" t="str">
        <f aca="false">HYPERLINK("https://genome.ucsc.edu/cgi-bin/hgTracks?db=hg19&amp;position=chr20%3A10273694%2D10273694", "chr20:10273694")</f>
        <v>chr20:10273694</v>
      </c>
      <c r="C265" s="0" t="s">
        <v>152</v>
      </c>
      <c r="D265" s="0" t="n">
        <v>10273694</v>
      </c>
      <c r="E265" s="0" t="n">
        <v>10273694</v>
      </c>
      <c r="F265" s="0" t="s">
        <v>185</v>
      </c>
      <c r="G265" s="0" t="s">
        <v>82</v>
      </c>
      <c r="H265" s="0" t="s">
        <v>1650</v>
      </c>
      <c r="I265" s="0" t="s">
        <v>1063</v>
      </c>
      <c r="J265" s="0" t="s">
        <v>1651</v>
      </c>
      <c r="K265" s="0" t="s">
        <v>46</v>
      </c>
      <c r="L265" s="0" t="str">
        <f aca="false">HYPERLINK("https://www.ncbi.nlm.nih.gov/snp/rs770058307", "rs770058307")</f>
        <v>rs770058307</v>
      </c>
      <c r="M265" s="0" t="str">
        <f aca="false">HYPERLINK("https://www.genecards.org/Search/Keyword?queryString=%5Baliases%5D(%20SNAP25%20)&amp;keywords=SNAP25", "SNAP25")</f>
        <v>SNAP25</v>
      </c>
      <c r="N265" s="0" t="s">
        <v>306</v>
      </c>
      <c r="O265" s="0" t="s">
        <v>46</v>
      </c>
      <c r="P265" s="0" t="s">
        <v>46</v>
      </c>
      <c r="Q265" s="0" t="n">
        <v>0.0225</v>
      </c>
      <c r="R265" s="0" t="n">
        <v>0.0183</v>
      </c>
      <c r="S265" s="0" t="n">
        <v>0.0144</v>
      </c>
      <c r="T265" s="0" t="n">
        <v>-1</v>
      </c>
      <c r="U265" s="0" t="n">
        <v>0.0349</v>
      </c>
      <c r="V265" s="0" t="s">
        <v>46</v>
      </c>
      <c r="W265" s="0" t="s">
        <v>46</v>
      </c>
      <c r="X265" s="0" t="s">
        <v>46</v>
      </c>
      <c r="Y265" s="0" t="s">
        <v>46</v>
      </c>
      <c r="Z265" s="0" t="s">
        <v>46</v>
      </c>
      <c r="AA265" s="0" t="s">
        <v>46</v>
      </c>
      <c r="AB265" s="0" t="s">
        <v>46</v>
      </c>
      <c r="AC265" s="0" t="s">
        <v>50</v>
      </c>
      <c r="AD265" s="0" t="s">
        <v>51</v>
      </c>
      <c r="AE265" s="0" t="s">
        <v>1652</v>
      </c>
      <c r="AF265" s="0" t="s">
        <v>1653</v>
      </c>
      <c r="AG265" s="0" t="s">
        <v>1654</v>
      </c>
      <c r="AH265" s="0" t="s">
        <v>1655</v>
      </c>
      <c r="AI265" s="0" t="s">
        <v>46</v>
      </c>
      <c r="AJ265" s="0" t="s">
        <v>46</v>
      </c>
      <c r="AK265" s="0" t="s">
        <v>46</v>
      </c>
      <c r="AL265" s="0" t="s">
        <v>46</v>
      </c>
    </row>
    <row r="266" customFormat="false" ht="15" hidden="false" customHeight="false" outlineLevel="0" collapsed="false">
      <c r="B266" s="0" t="str">
        <f aca="false">HYPERLINK("https://genome.ucsc.edu/cgi-bin/hgTracks?db=hg19&amp;position=chr20%3A21126122%2D21126122", "chr20:21126122")</f>
        <v>chr20:21126122</v>
      </c>
      <c r="C266" s="0" t="s">
        <v>152</v>
      </c>
      <c r="D266" s="0" t="n">
        <v>21126122</v>
      </c>
      <c r="E266" s="0" t="n">
        <v>21126122</v>
      </c>
      <c r="F266" s="0" t="s">
        <v>40</v>
      </c>
      <c r="G266" s="0" t="s">
        <v>39</v>
      </c>
      <c r="H266" s="0" t="s">
        <v>1656</v>
      </c>
      <c r="I266" s="0" t="s">
        <v>1326</v>
      </c>
      <c r="J266" s="0" t="s">
        <v>1657</v>
      </c>
      <c r="K266" s="0" t="s">
        <v>46</v>
      </c>
      <c r="L266" s="0" t="str">
        <f aca="false">HYPERLINK("https://www.ncbi.nlm.nih.gov/snp/rs574236282", "rs574236282")</f>
        <v>rs574236282</v>
      </c>
      <c r="M266" s="0" t="str">
        <f aca="false">HYPERLINK("https://www.genecards.org/Search/Keyword?queryString=%5Baliases%5D(%20KIZ%20)%20OR%20%5Baliases%5D(%20PLK1S1%20)&amp;keywords=KIZ,PLK1S1", "KIZ;PLK1S1")</f>
        <v>KIZ;PLK1S1</v>
      </c>
      <c r="N266" s="0" t="s">
        <v>306</v>
      </c>
      <c r="O266" s="0" t="s">
        <v>46</v>
      </c>
      <c r="P266" s="0" t="s">
        <v>46</v>
      </c>
      <c r="Q266" s="0" t="n">
        <v>0.0012</v>
      </c>
      <c r="R266" s="0" t="n">
        <v>0.0014</v>
      </c>
      <c r="S266" s="0" t="n">
        <v>0.0012</v>
      </c>
      <c r="T266" s="0" t="n">
        <v>-1</v>
      </c>
      <c r="U266" s="0" t="n">
        <v>0.0024</v>
      </c>
      <c r="V266" s="0" t="s">
        <v>46</v>
      </c>
      <c r="W266" s="0" t="s">
        <v>46</v>
      </c>
      <c r="X266" s="0" t="s">
        <v>46</v>
      </c>
      <c r="Y266" s="0" t="s">
        <v>46</v>
      </c>
      <c r="Z266" s="0" t="s">
        <v>46</v>
      </c>
      <c r="AA266" s="0" t="s">
        <v>46</v>
      </c>
      <c r="AB266" s="0" t="s">
        <v>46</v>
      </c>
      <c r="AC266" s="0" t="s">
        <v>50</v>
      </c>
      <c r="AD266" s="0" t="s">
        <v>576</v>
      </c>
      <c r="AE266" s="0" t="s">
        <v>46</v>
      </c>
      <c r="AF266" s="0" t="s">
        <v>1658</v>
      </c>
      <c r="AG266" s="0" t="s">
        <v>1659</v>
      </c>
      <c r="AH266" s="0" t="s">
        <v>1660</v>
      </c>
      <c r="AI266" s="0" t="s">
        <v>46</v>
      </c>
      <c r="AJ266" s="0" t="s">
        <v>46</v>
      </c>
      <c r="AK266" s="0" t="s">
        <v>46</v>
      </c>
      <c r="AL266" s="0" t="s">
        <v>46</v>
      </c>
    </row>
    <row r="267" customFormat="false" ht="15" hidden="false" customHeight="false" outlineLevel="0" collapsed="false">
      <c r="B267" s="0" t="str">
        <f aca="false">HYPERLINK("https://genome.ucsc.edu/cgi-bin/hgTracks?db=hg19&amp;position=chr20%3A21213547%2D21213547", "chr20:21213547")</f>
        <v>chr20:21213547</v>
      </c>
      <c r="C267" s="0" t="s">
        <v>152</v>
      </c>
      <c r="D267" s="0" t="n">
        <v>21213547</v>
      </c>
      <c r="E267" s="0" t="n">
        <v>21213547</v>
      </c>
      <c r="F267" s="0" t="s">
        <v>39</v>
      </c>
      <c r="G267" s="0" t="s">
        <v>57</v>
      </c>
      <c r="H267" s="0" t="s">
        <v>594</v>
      </c>
      <c r="I267" s="0" t="s">
        <v>1389</v>
      </c>
      <c r="J267" s="0" t="s">
        <v>1661</v>
      </c>
      <c r="K267" s="0" t="s">
        <v>46</v>
      </c>
      <c r="L267" s="0" t="str">
        <f aca="false">HYPERLINK("https://www.ncbi.nlm.nih.gov/snp/rs118176312", "rs118176312")</f>
        <v>rs118176312</v>
      </c>
      <c r="M267" s="0" t="str">
        <f aca="false">HYPERLINK("https://www.genecards.org/Search/Keyword?queryString=%5Baliases%5D(%20KIZ%20)%20OR%20%5Baliases%5D(%20PLK1S1%20)&amp;keywords=KIZ,PLK1S1", "KIZ;PLK1S1")</f>
        <v>KIZ;PLK1S1</v>
      </c>
      <c r="N267" s="0" t="s">
        <v>704</v>
      </c>
      <c r="O267" s="0" t="s">
        <v>46</v>
      </c>
      <c r="P267" s="0" t="s">
        <v>46</v>
      </c>
      <c r="Q267" s="0" t="n">
        <v>0.0139</v>
      </c>
      <c r="R267" s="0" t="n">
        <v>0.007</v>
      </c>
      <c r="S267" s="0" t="n">
        <v>0.0083</v>
      </c>
      <c r="T267" s="0" t="n">
        <v>-1</v>
      </c>
      <c r="U267" s="0" t="n">
        <v>0.0047</v>
      </c>
      <c r="V267" s="0" t="s">
        <v>46</v>
      </c>
      <c r="W267" s="0" t="s">
        <v>46</v>
      </c>
      <c r="X267" s="0" t="s">
        <v>46</v>
      </c>
      <c r="Y267" s="0" t="s">
        <v>46</v>
      </c>
      <c r="Z267" s="0" t="s">
        <v>46</v>
      </c>
      <c r="AA267" s="0" t="s">
        <v>46</v>
      </c>
      <c r="AB267" s="0" t="s">
        <v>46</v>
      </c>
      <c r="AC267" s="0" t="s">
        <v>50</v>
      </c>
      <c r="AD267" s="0" t="s">
        <v>576</v>
      </c>
      <c r="AE267" s="0" t="s">
        <v>46</v>
      </c>
      <c r="AF267" s="0" t="s">
        <v>1658</v>
      </c>
      <c r="AG267" s="0" t="s">
        <v>1659</v>
      </c>
      <c r="AH267" s="0" t="s">
        <v>1660</v>
      </c>
      <c r="AI267" s="0" t="s">
        <v>46</v>
      </c>
      <c r="AJ267" s="0" t="s">
        <v>46</v>
      </c>
      <c r="AK267" s="0" t="s">
        <v>46</v>
      </c>
      <c r="AL267" s="0" t="s">
        <v>46</v>
      </c>
    </row>
    <row r="268" customFormat="false" ht="15" hidden="false" customHeight="false" outlineLevel="0" collapsed="false">
      <c r="B268" s="0" t="str">
        <f aca="false">HYPERLINK("https://genome.ucsc.edu/cgi-bin/hgTracks?db=hg19&amp;position=chr20%3A23615823%2D23615823", "chr20:23615823")</f>
        <v>chr20:23615823</v>
      </c>
      <c r="C268" s="0" t="s">
        <v>152</v>
      </c>
      <c r="D268" s="0" t="n">
        <v>23615823</v>
      </c>
      <c r="E268" s="0" t="n">
        <v>23615823</v>
      </c>
      <c r="F268" s="0" t="s">
        <v>57</v>
      </c>
      <c r="G268" s="0" t="s">
        <v>82</v>
      </c>
      <c r="H268" s="0" t="s">
        <v>1662</v>
      </c>
      <c r="I268" s="0" t="s">
        <v>1043</v>
      </c>
      <c r="J268" s="0" t="s">
        <v>1663</v>
      </c>
      <c r="K268" s="0" t="s">
        <v>46</v>
      </c>
      <c r="L268" s="0" t="str">
        <f aca="false">HYPERLINK("https://www.ncbi.nlm.nih.gov/snp/rs958151449", "rs958151449")</f>
        <v>rs958151449</v>
      </c>
      <c r="M268" s="0" t="str">
        <f aca="false">HYPERLINK("https://www.genecards.org/Search/Keyword?queryString=%5Baliases%5D(%20CST3%20)&amp;keywords=CST3", "CST3")</f>
        <v>CST3</v>
      </c>
      <c r="N268" s="0" t="s">
        <v>45</v>
      </c>
      <c r="O268" s="0" t="s">
        <v>46</v>
      </c>
      <c r="P268" s="0" t="s">
        <v>46</v>
      </c>
      <c r="Q268" s="0" t="n">
        <v>-1</v>
      </c>
      <c r="R268" s="0" t="n">
        <v>-1</v>
      </c>
      <c r="S268" s="0" t="n">
        <v>-1</v>
      </c>
      <c r="T268" s="0" t="n">
        <v>-1</v>
      </c>
      <c r="U268" s="0" t="n">
        <v>-1</v>
      </c>
      <c r="V268" s="0" t="s">
        <v>46</v>
      </c>
      <c r="W268" s="0" t="s">
        <v>46</v>
      </c>
      <c r="X268" s="0" t="s">
        <v>47</v>
      </c>
      <c r="Y268" s="0" t="s">
        <v>48</v>
      </c>
      <c r="Z268" s="0" t="s">
        <v>46</v>
      </c>
      <c r="AA268" s="0" t="s">
        <v>46</v>
      </c>
      <c r="AB268" s="0" t="s">
        <v>46</v>
      </c>
      <c r="AC268" s="0" t="s">
        <v>50</v>
      </c>
      <c r="AD268" s="0" t="s">
        <v>51</v>
      </c>
      <c r="AE268" s="0" t="s">
        <v>1664</v>
      </c>
      <c r="AF268" s="0" t="s">
        <v>1665</v>
      </c>
      <c r="AG268" s="0" t="s">
        <v>1666</v>
      </c>
      <c r="AH268" s="0" t="s">
        <v>1667</v>
      </c>
      <c r="AI268" s="0" t="s">
        <v>46</v>
      </c>
      <c r="AJ268" s="0" t="s">
        <v>46</v>
      </c>
      <c r="AK268" s="0" t="s">
        <v>46</v>
      </c>
      <c r="AL268" s="0" t="s">
        <v>46</v>
      </c>
    </row>
    <row r="269" customFormat="false" ht="15" hidden="false" customHeight="false" outlineLevel="0" collapsed="false">
      <c r="B269" s="0" t="str">
        <f aca="false">HYPERLINK("https://genome.ucsc.edu/cgi-bin/hgTracks?db=hg19&amp;position=chr20%3A34317354%2D34317354", "chr20:34317354")</f>
        <v>chr20:34317354</v>
      </c>
      <c r="C269" s="0" t="s">
        <v>152</v>
      </c>
      <c r="D269" s="0" t="n">
        <v>34317354</v>
      </c>
      <c r="E269" s="0" t="n">
        <v>34317354</v>
      </c>
      <c r="F269" s="0" t="s">
        <v>82</v>
      </c>
      <c r="G269" s="0" t="s">
        <v>40</v>
      </c>
      <c r="H269" s="0" t="s">
        <v>1668</v>
      </c>
      <c r="I269" s="0" t="s">
        <v>1669</v>
      </c>
      <c r="J269" s="0" t="s">
        <v>1670</v>
      </c>
      <c r="K269" s="0" t="s">
        <v>46</v>
      </c>
      <c r="L269" s="0" t="str">
        <f aca="false">HYPERLINK("https://www.ncbi.nlm.nih.gov/snp/rs144558319", "rs144558319")</f>
        <v>rs144558319</v>
      </c>
      <c r="M269" s="0" t="str">
        <f aca="false">HYPERLINK("https://www.genecards.org/Search/Keyword?queryString=%5Baliases%5D(%20RBM39%20)&amp;keywords=RBM39", "RBM39")</f>
        <v>RBM39</v>
      </c>
      <c r="N269" s="0" t="s">
        <v>45</v>
      </c>
      <c r="O269" s="0" t="s">
        <v>46</v>
      </c>
      <c r="P269" s="0" t="s">
        <v>46</v>
      </c>
      <c r="Q269" s="0" t="n">
        <v>0.0072</v>
      </c>
      <c r="R269" s="0" t="n">
        <v>0.0025</v>
      </c>
      <c r="S269" s="0" t="n">
        <v>0.0036</v>
      </c>
      <c r="T269" s="0" t="n">
        <v>-1</v>
      </c>
      <c r="U269" s="0" t="n">
        <v>0.0041</v>
      </c>
      <c r="V269" s="0" t="s">
        <v>46</v>
      </c>
      <c r="W269" s="0" t="s">
        <v>46</v>
      </c>
      <c r="X269" s="0" t="s">
        <v>47</v>
      </c>
      <c r="Y269" s="0" t="s">
        <v>48</v>
      </c>
      <c r="Z269" s="0" t="s">
        <v>46</v>
      </c>
      <c r="AA269" s="0" t="s">
        <v>46</v>
      </c>
      <c r="AB269" s="0" t="s">
        <v>46</v>
      </c>
      <c r="AC269" s="0" t="s">
        <v>50</v>
      </c>
      <c r="AD269" s="0" t="s">
        <v>51</v>
      </c>
      <c r="AE269" s="0" t="s">
        <v>1671</v>
      </c>
      <c r="AF269" s="0" t="s">
        <v>1672</v>
      </c>
      <c r="AG269" s="0" t="s">
        <v>1673</v>
      </c>
      <c r="AH269" s="0" t="s">
        <v>46</v>
      </c>
      <c r="AI269" s="0" t="s">
        <v>46</v>
      </c>
      <c r="AJ269" s="0" t="s">
        <v>46</v>
      </c>
      <c r="AK269" s="0" t="s">
        <v>46</v>
      </c>
      <c r="AL269" s="0" t="s">
        <v>46</v>
      </c>
    </row>
    <row r="270" customFormat="false" ht="15" hidden="false" customHeight="false" outlineLevel="0" collapsed="false">
      <c r="B270" s="0" t="str">
        <f aca="false">HYPERLINK("https://genome.ucsc.edu/cgi-bin/hgTracks?db=hg19&amp;position=chr20%3A34575139%2D34575139", "chr20:34575139")</f>
        <v>chr20:34575139</v>
      </c>
      <c r="C270" s="0" t="s">
        <v>152</v>
      </c>
      <c r="D270" s="0" t="n">
        <v>34575139</v>
      </c>
      <c r="E270" s="0" t="n">
        <v>34575139</v>
      </c>
      <c r="F270" s="0" t="s">
        <v>40</v>
      </c>
      <c r="G270" s="0" t="s">
        <v>82</v>
      </c>
      <c r="H270" s="0" t="s">
        <v>643</v>
      </c>
      <c r="I270" s="0" t="s">
        <v>644</v>
      </c>
      <c r="J270" s="0" t="s">
        <v>645</v>
      </c>
      <c r="K270" s="0" t="s">
        <v>46</v>
      </c>
      <c r="L270" s="0" t="str">
        <f aca="false">HYPERLINK("https://www.ncbi.nlm.nih.gov/snp/rs73095588", "rs73095588")</f>
        <v>rs73095588</v>
      </c>
      <c r="M270" s="0" t="str">
        <f aca="false">HYPERLINK("https://www.genecards.org/Search/Keyword?queryString=%5Baliases%5D(%20CNBD2%20)&amp;keywords=CNBD2", "CNBD2")</f>
        <v>CNBD2</v>
      </c>
      <c r="N270" s="0" t="s">
        <v>45</v>
      </c>
      <c r="O270" s="0" t="s">
        <v>46</v>
      </c>
      <c r="P270" s="0" t="s">
        <v>46</v>
      </c>
      <c r="Q270" s="0" t="n">
        <v>0.0129</v>
      </c>
      <c r="R270" s="0" t="n">
        <v>0.0123</v>
      </c>
      <c r="S270" s="0" t="n">
        <v>0.0126</v>
      </c>
      <c r="T270" s="0" t="n">
        <v>-1</v>
      </c>
      <c r="U270" s="0" t="n">
        <v>0.0127</v>
      </c>
      <c r="V270" s="0" t="s">
        <v>46</v>
      </c>
      <c r="W270" s="0" t="s">
        <v>46</v>
      </c>
      <c r="X270" s="0" t="s">
        <v>47</v>
      </c>
      <c r="Y270" s="0" t="s">
        <v>48</v>
      </c>
      <c r="Z270" s="0" t="s">
        <v>46</v>
      </c>
      <c r="AA270" s="0" t="s">
        <v>46</v>
      </c>
      <c r="AB270" s="0" t="s">
        <v>46</v>
      </c>
      <c r="AC270" s="0" t="s">
        <v>50</v>
      </c>
      <c r="AD270" s="0" t="s">
        <v>51</v>
      </c>
      <c r="AE270" s="0" t="s">
        <v>1674</v>
      </c>
      <c r="AF270" s="0" t="s">
        <v>1675</v>
      </c>
      <c r="AG270" s="0" t="s">
        <v>46</v>
      </c>
      <c r="AH270" s="0" t="s">
        <v>46</v>
      </c>
      <c r="AI270" s="0" t="s">
        <v>46</v>
      </c>
      <c r="AJ270" s="0" t="s">
        <v>46</v>
      </c>
      <c r="AK270" s="0" t="s">
        <v>46</v>
      </c>
      <c r="AL270" s="0" t="s">
        <v>46</v>
      </c>
    </row>
    <row r="271" customFormat="false" ht="15" hidden="false" customHeight="false" outlineLevel="0" collapsed="false">
      <c r="B271" s="0" t="str">
        <f aca="false">HYPERLINK("https://genome.ucsc.edu/cgi-bin/hgTracks?db=hg19&amp;position=chr20%3A36946703%2D36946703", "chr20:36946703")</f>
        <v>chr20:36946703</v>
      </c>
      <c r="C271" s="0" t="s">
        <v>152</v>
      </c>
      <c r="D271" s="0" t="n">
        <v>36946703</v>
      </c>
      <c r="E271" s="0" t="n">
        <v>36946703</v>
      </c>
      <c r="F271" s="0" t="s">
        <v>57</v>
      </c>
      <c r="G271" s="0" t="s">
        <v>39</v>
      </c>
      <c r="H271" s="0" t="s">
        <v>1676</v>
      </c>
      <c r="I271" s="0" t="s">
        <v>164</v>
      </c>
      <c r="J271" s="0" t="s">
        <v>1397</v>
      </c>
      <c r="K271" s="0" t="s">
        <v>46</v>
      </c>
      <c r="L271" s="0" t="str">
        <f aca="false">HYPERLINK("https://www.ncbi.nlm.nih.gov/snp/rs145662699", "rs145662699")</f>
        <v>rs145662699</v>
      </c>
      <c r="M271" s="0" t="str">
        <f aca="false">HYPERLINK("https://www.genecards.org/Search/Keyword?queryString=%5Baliases%5D(%20BPI%20)&amp;keywords=BPI", "BPI")</f>
        <v>BPI</v>
      </c>
      <c r="N271" s="0" t="s">
        <v>306</v>
      </c>
      <c r="O271" s="0" t="s">
        <v>46</v>
      </c>
      <c r="P271" s="0" t="s">
        <v>46</v>
      </c>
      <c r="Q271" s="0" t="n">
        <v>0.0256</v>
      </c>
      <c r="R271" s="0" t="n">
        <v>0.008</v>
      </c>
      <c r="S271" s="0" t="n">
        <v>0.0079</v>
      </c>
      <c r="T271" s="0" t="n">
        <v>-1</v>
      </c>
      <c r="U271" s="0" t="n">
        <v>0.0065</v>
      </c>
      <c r="V271" s="0" t="s">
        <v>46</v>
      </c>
      <c r="W271" s="0" t="s">
        <v>46</v>
      </c>
      <c r="X271" s="0" t="s">
        <v>47</v>
      </c>
      <c r="Y271" s="0" t="s">
        <v>48</v>
      </c>
      <c r="Z271" s="0" t="s">
        <v>46</v>
      </c>
      <c r="AA271" s="0" t="s">
        <v>46</v>
      </c>
      <c r="AB271" s="0" t="s">
        <v>46</v>
      </c>
      <c r="AC271" s="0" t="s">
        <v>50</v>
      </c>
      <c r="AD271" s="0" t="s">
        <v>51</v>
      </c>
      <c r="AE271" s="0" t="s">
        <v>1677</v>
      </c>
      <c r="AF271" s="0" t="s">
        <v>1678</v>
      </c>
      <c r="AG271" s="0" t="s">
        <v>1679</v>
      </c>
      <c r="AH271" s="0" t="s">
        <v>46</v>
      </c>
      <c r="AI271" s="0" t="s">
        <v>46</v>
      </c>
      <c r="AJ271" s="0" t="s">
        <v>46</v>
      </c>
      <c r="AK271" s="0" t="s">
        <v>46</v>
      </c>
      <c r="AL271" s="0" t="s">
        <v>46</v>
      </c>
    </row>
    <row r="272" customFormat="false" ht="15" hidden="false" customHeight="false" outlineLevel="0" collapsed="false">
      <c r="B272" s="0" t="str">
        <f aca="false">HYPERLINK("https://genome.ucsc.edu/cgi-bin/hgTracks?db=hg19&amp;position=chr20%3A40730750%2D40730750", "chr20:40730750")</f>
        <v>chr20:40730750</v>
      </c>
      <c r="C272" s="0" t="s">
        <v>152</v>
      </c>
      <c r="D272" s="0" t="n">
        <v>40730750</v>
      </c>
      <c r="E272" s="0" t="n">
        <v>40730750</v>
      </c>
      <c r="F272" s="0" t="s">
        <v>40</v>
      </c>
      <c r="G272" s="0" t="s">
        <v>82</v>
      </c>
      <c r="H272" s="0" t="s">
        <v>1680</v>
      </c>
      <c r="I272" s="0" t="s">
        <v>1371</v>
      </c>
      <c r="J272" s="0" t="s">
        <v>1681</v>
      </c>
      <c r="K272" s="0" t="s">
        <v>46</v>
      </c>
      <c r="L272" s="0" t="str">
        <f aca="false">HYPERLINK("https://www.ncbi.nlm.nih.gov/snp/rs201873936", "rs201873936")</f>
        <v>rs201873936</v>
      </c>
      <c r="M272" s="0" t="str">
        <f aca="false">HYPERLINK("https://www.genecards.org/Search/Keyword?queryString=%5Baliases%5D(%20PTPRT%20)&amp;keywords=PTPRT", "PTPRT")</f>
        <v>PTPRT</v>
      </c>
      <c r="N272" s="0" t="s">
        <v>45</v>
      </c>
      <c r="O272" s="0" t="s">
        <v>46</v>
      </c>
      <c r="P272" s="0" t="s">
        <v>46</v>
      </c>
      <c r="Q272" s="0" t="n">
        <v>0.0115</v>
      </c>
      <c r="R272" s="0" t="n">
        <v>0.0024</v>
      </c>
      <c r="S272" s="0" t="n">
        <v>0.0021</v>
      </c>
      <c r="T272" s="0" t="n">
        <v>-1</v>
      </c>
      <c r="U272" s="0" t="n">
        <v>0.0044</v>
      </c>
      <c r="V272" s="0" t="s">
        <v>46</v>
      </c>
      <c r="W272" s="0" t="s">
        <v>46</v>
      </c>
      <c r="X272" s="0" t="s">
        <v>354</v>
      </c>
      <c r="Y272" s="0" t="s">
        <v>48</v>
      </c>
      <c r="Z272" s="0" t="s">
        <v>46</v>
      </c>
      <c r="AA272" s="0" t="s">
        <v>46</v>
      </c>
      <c r="AB272" s="0" t="s">
        <v>46</v>
      </c>
      <c r="AC272" s="0" t="s">
        <v>50</v>
      </c>
      <c r="AD272" s="0" t="s">
        <v>51</v>
      </c>
      <c r="AE272" s="0" t="s">
        <v>1682</v>
      </c>
      <c r="AF272" s="0" t="s">
        <v>1683</v>
      </c>
      <c r="AG272" s="0" t="s">
        <v>1684</v>
      </c>
      <c r="AH272" s="0" t="s">
        <v>46</v>
      </c>
      <c r="AI272" s="0" t="s">
        <v>46</v>
      </c>
      <c r="AJ272" s="0" t="s">
        <v>46</v>
      </c>
      <c r="AK272" s="0" t="s">
        <v>46</v>
      </c>
      <c r="AL272" s="0" t="s">
        <v>46</v>
      </c>
    </row>
    <row r="273" customFormat="false" ht="15" hidden="false" customHeight="false" outlineLevel="0" collapsed="false">
      <c r="B273" s="0" t="str">
        <f aca="false">HYPERLINK("https://genome.ucsc.edu/cgi-bin/hgTracks?db=hg19&amp;position=chr20%3A55099974%2D55099977", "chr20:55099974")</f>
        <v>chr20:55099974</v>
      </c>
      <c r="C273" s="0" t="s">
        <v>152</v>
      </c>
      <c r="D273" s="0" t="n">
        <v>55099974</v>
      </c>
      <c r="E273" s="0" t="n">
        <v>55099977</v>
      </c>
      <c r="F273" s="0" t="s">
        <v>1685</v>
      </c>
      <c r="G273" s="0" t="s">
        <v>185</v>
      </c>
      <c r="H273" s="0" t="s">
        <v>1686</v>
      </c>
      <c r="I273" s="0" t="s">
        <v>1687</v>
      </c>
      <c r="J273" s="0" t="s">
        <v>1688</v>
      </c>
      <c r="K273" s="0" t="s">
        <v>46</v>
      </c>
      <c r="L273" s="0" t="str">
        <f aca="false">HYPERLINK("https://www.ncbi.nlm.nih.gov/snp/rs775952021", "rs775952021")</f>
        <v>rs775952021</v>
      </c>
      <c r="M273" s="0" t="str">
        <f aca="false">HYPERLINK("https://www.genecards.org/Search/Keyword?queryString=%5Baliases%5D(%20FAM209A%20)%20OR%20%5Baliases%5D(%20FAM209B%20)&amp;keywords=FAM209A,FAM209B", "FAM209A;FAM209B")</f>
        <v>FAM209A;FAM209B</v>
      </c>
      <c r="N273" s="0" t="s">
        <v>62</v>
      </c>
      <c r="O273" s="0" t="s">
        <v>262</v>
      </c>
      <c r="P273" s="0" t="s">
        <v>1689</v>
      </c>
      <c r="Q273" s="0" t="n">
        <v>0.0162</v>
      </c>
      <c r="R273" s="0" t="n">
        <v>0.0159</v>
      </c>
      <c r="S273" s="0" t="n">
        <v>0.0181</v>
      </c>
      <c r="T273" s="0" t="n">
        <v>-1</v>
      </c>
      <c r="U273" s="0" t="n">
        <v>0.0203</v>
      </c>
      <c r="V273" s="0" t="s">
        <v>46</v>
      </c>
      <c r="W273" s="0" t="s">
        <v>46</v>
      </c>
      <c r="X273" s="0" t="s">
        <v>46</v>
      </c>
      <c r="Y273" s="0" t="s">
        <v>46</v>
      </c>
      <c r="Z273" s="0" t="s">
        <v>46</v>
      </c>
      <c r="AA273" s="0" t="s">
        <v>46</v>
      </c>
      <c r="AB273" s="0" t="s">
        <v>46</v>
      </c>
      <c r="AC273" s="0" t="s">
        <v>50</v>
      </c>
      <c r="AD273" s="0" t="s">
        <v>576</v>
      </c>
      <c r="AE273" s="0" t="s">
        <v>1690</v>
      </c>
      <c r="AF273" s="0" t="s">
        <v>1691</v>
      </c>
      <c r="AG273" s="0" t="s">
        <v>46</v>
      </c>
      <c r="AH273" s="0" t="s">
        <v>46</v>
      </c>
      <c r="AI273" s="0" t="s">
        <v>46</v>
      </c>
      <c r="AJ273" s="0" t="s">
        <v>46</v>
      </c>
      <c r="AK273" s="0" t="s">
        <v>46</v>
      </c>
      <c r="AL273" s="0" t="s">
        <v>487</v>
      </c>
    </row>
    <row r="274" customFormat="false" ht="15" hidden="false" customHeight="false" outlineLevel="0" collapsed="false">
      <c r="B274" s="0" t="str">
        <f aca="false">HYPERLINK("https://genome.ucsc.edu/cgi-bin/hgTracks?db=hg19&amp;position=chr20%3A55099978%2D55099978", "chr20:55099978")</f>
        <v>chr20:55099978</v>
      </c>
      <c r="C274" s="0" t="s">
        <v>152</v>
      </c>
      <c r="D274" s="0" t="n">
        <v>55099978</v>
      </c>
      <c r="E274" s="0" t="n">
        <v>55099978</v>
      </c>
      <c r="F274" s="0" t="s">
        <v>185</v>
      </c>
      <c r="G274" s="0" t="s">
        <v>1692</v>
      </c>
      <c r="H274" s="0" t="s">
        <v>1693</v>
      </c>
      <c r="I274" s="0" t="s">
        <v>1694</v>
      </c>
      <c r="J274" s="0" t="s">
        <v>1695</v>
      </c>
      <c r="K274" s="0" t="s">
        <v>46</v>
      </c>
      <c r="L274" s="0" t="str">
        <f aca="false">HYPERLINK("https://www.ncbi.nlm.nih.gov/snp/rs749426116", "rs749426116")</f>
        <v>rs749426116</v>
      </c>
      <c r="M274" s="0" t="str">
        <f aca="false">HYPERLINK("https://www.genecards.org/Search/Keyword?queryString=%5Baliases%5D(%20FAM209A%20)%20OR%20%5Baliases%5D(%20FAM209B%20)&amp;keywords=FAM209A,FAM209B", "FAM209A;FAM209B")</f>
        <v>FAM209A;FAM209B</v>
      </c>
      <c r="N274" s="0" t="s">
        <v>62</v>
      </c>
      <c r="O274" s="0" t="s">
        <v>273</v>
      </c>
      <c r="P274" s="0" t="s">
        <v>1696</v>
      </c>
      <c r="Q274" s="0" t="n">
        <v>0.0164</v>
      </c>
      <c r="R274" s="0" t="n">
        <v>0.0162</v>
      </c>
      <c r="S274" s="0" t="n">
        <v>0.0181</v>
      </c>
      <c r="T274" s="0" t="n">
        <v>-1</v>
      </c>
      <c r="U274" s="0" t="n">
        <v>0.0203</v>
      </c>
      <c r="V274" s="0" t="s">
        <v>46</v>
      </c>
      <c r="W274" s="0" t="s">
        <v>46</v>
      </c>
      <c r="X274" s="0" t="s">
        <v>46</v>
      </c>
      <c r="Y274" s="0" t="s">
        <v>46</v>
      </c>
      <c r="Z274" s="0" t="s">
        <v>46</v>
      </c>
      <c r="AA274" s="0" t="s">
        <v>46</v>
      </c>
      <c r="AB274" s="0" t="s">
        <v>46</v>
      </c>
      <c r="AC274" s="0" t="s">
        <v>50</v>
      </c>
      <c r="AD274" s="0" t="s">
        <v>576</v>
      </c>
      <c r="AE274" s="0" t="s">
        <v>1690</v>
      </c>
      <c r="AF274" s="0" t="s">
        <v>1691</v>
      </c>
      <c r="AG274" s="0" t="s">
        <v>46</v>
      </c>
      <c r="AH274" s="0" t="s">
        <v>46</v>
      </c>
      <c r="AI274" s="0" t="s">
        <v>46</v>
      </c>
      <c r="AJ274" s="0" t="s">
        <v>46</v>
      </c>
      <c r="AK274" s="0" t="s">
        <v>46</v>
      </c>
      <c r="AL274" s="0" t="s">
        <v>487</v>
      </c>
    </row>
    <row r="275" customFormat="false" ht="15" hidden="false" customHeight="false" outlineLevel="0" collapsed="false">
      <c r="B275" s="0" t="str">
        <f aca="false">HYPERLINK("https://genome.ucsc.edu/cgi-bin/hgTracks?db=hg19&amp;position=chr20%3A57430587%2D57430587", "chr20:57430587")</f>
        <v>chr20:57430587</v>
      </c>
      <c r="C275" s="0" t="s">
        <v>152</v>
      </c>
      <c r="D275" s="0" t="n">
        <v>57430587</v>
      </c>
      <c r="E275" s="0" t="n">
        <v>57430587</v>
      </c>
      <c r="F275" s="0" t="s">
        <v>39</v>
      </c>
      <c r="G275" s="0" t="s">
        <v>40</v>
      </c>
      <c r="H275" s="0" t="s">
        <v>1697</v>
      </c>
      <c r="I275" s="0" t="s">
        <v>98</v>
      </c>
      <c r="J275" s="0" t="s">
        <v>1698</v>
      </c>
      <c r="K275" s="0" t="s">
        <v>46</v>
      </c>
      <c r="L275" s="0" t="str">
        <f aca="false">HYPERLINK("https://www.ncbi.nlm.nih.gov/snp/rs117282861", "rs117282861")</f>
        <v>rs117282861</v>
      </c>
      <c r="M275" s="0" t="str">
        <f aca="false">HYPERLINK("https://www.genecards.org/Search/Keyword?queryString=%5Baliases%5D(%20GNAS%20)&amp;keywords=GNAS", "GNAS")</f>
        <v>GNAS</v>
      </c>
      <c r="N275" s="0" t="s">
        <v>45</v>
      </c>
      <c r="O275" s="0" t="s">
        <v>46</v>
      </c>
      <c r="P275" s="0" t="s">
        <v>46</v>
      </c>
      <c r="Q275" s="0" t="n">
        <v>0.011336</v>
      </c>
      <c r="R275" s="0" t="n">
        <v>0.0077</v>
      </c>
      <c r="S275" s="0" t="n">
        <v>0.0084</v>
      </c>
      <c r="T275" s="0" t="n">
        <v>-1</v>
      </c>
      <c r="U275" s="0" t="n">
        <v>0.0067</v>
      </c>
      <c r="V275" s="0" t="s">
        <v>46</v>
      </c>
      <c r="W275" s="0" t="s">
        <v>46</v>
      </c>
      <c r="X275" s="0" t="s">
        <v>47</v>
      </c>
      <c r="Y275" s="0" t="s">
        <v>48</v>
      </c>
      <c r="Z275" s="0" t="s">
        <v>46</v>
      </c>
      <c r="AA275" s="0" t="s">
        <v>46</v>
      </c>
      <c r="AB275" s="0" t="s">
        <v>46</v>
      </c>
      <c r="AC275" s="0" t="s">
        <v>50</v>
      </c>
      <c r="AD275" s="0" t="s">
        <v>51</v>
      </c>
      <c r="AE275" s="0" t="s">
        <v>1699</v>
      </c>
      <c r="AF275" s="0" t="s">
        <v>1700</v>
      </c>
      <c r="AG275" s="0" t="s">
        <v>46</v>
      </c>
      <c r="AH275" s="0" t="s">
        <v>1701</v>
      </c>
      <c r="AI275" s="0" t="s">
        <v>46</v>
      </c>
      <c r="AJ275" s="0" t="s">
        <v>46</v>
      </c>
      <c r="AK275" s="0" t="s">
        <v>46</v>
      </c>
      <c r="AL275" s="0" t="s">
        <v>46</v>
      </c>
    </row>
    <row r="276" customFormat="false" ht="15" hidden="false" customHeight="false" outlineLevel="0" collapsed="false">
      <c r="B276" s="0" t="str">
        <f aca="false">HYPERLINK("https://genome.ucsc.edu/cgi-bin/hgTracks?db=hg19&amp;position=chr21%3A10970008%2D10970008", "chr21:10970008")</f>
        <v>chr21:10970008</v>
      </c>
      <c r="C276" s="0" t="s">
        <v>1702</v>
      </c>
      <c r="D276" s="0" t="n">
        <v>10970008</v>
      </c>
      <c r="E276" s="0" t="n">
        <v>10970008</v>
      </c>
      <c r="F276" s="0" t="s">
        <v>40</v>
      </c>
      <c r="G276" s="0" t="s">
        <v>82</v>
      </c>
      <c r="H276" s="0" t="s">
        <v>1703</v>
      </c>
      <c r="I276" s="0" t="s">
        <v>1704</v>
      </c>
      <c r="J276" s="0" t="s">
        <v>1705</v>
      </c>
      <c r="K276" s="0" t="s">
        <v>46</v>
      </c>
      <c r="L276" s="0" t="str">
        <f aca="false">HYPERLINK("https://www.ncbi.nlm.nih.gov/snp/rs11184139", "rs11184139")</f>
        <v>rs11184139</v>
      </c>
      <c r="M276" s="0" t="str">
        <f aca="false">HYPERLINK("https://www.genecards.org/Search/Keyword?queryString=%5Baliases%5D(%20TPTE%20)&amp;keywords=TPTE", "TPTE")</f>
        <v>TPTE</v>
      </c>
      <c r="N276" s="0" t="s">
        <v>602</v>
      </c>
      <c r="O276" s="0" t="s">
        <v>46</v>
      </c>
      <c r="P276" s="0" t="s">
        <v>1706</v>
      </c>
      <c r="Q276" s="0" t="n">
        <v>0.0278</v>
      </c>
      <c r="R276" s="0" t="n">
        <v>0.0167</v>
      </c>
      <c r="S276" s="0" t="n">
        <v>0.0183</v>
      </c>
      <c r="T276" s="0" t="n">
        <v>-1</v>
      </c>
      <c r="U276" s="0" t="n">
        <v>0.0126</v>
      </c>
      <c r="V276" s="0" t="s">
        <v>46</v>
      </c>
      <c r="W276" s="0" t="s">
        <v>47</v>
      </c>
      <c r="X276" s="0" t="s">
        <v>307</v>
      </c>
      <c r="Y276" s="0" t="s">
        <v>200</v>
      </c>
      <c r="Z276" s="0" t="s">
        <v>66</v>
      </c>
      <c r="AA276" s="0" t="s">
        <v>46</v>
      </c>
      <c r="AB276" s="0" t="s">
        <v>46</v>
      </c>
      <c r="AC276" s="0" t="s">
        <v>50</v>
      </c>
      <c r="AD276" s="0" t="s">
        <v>51</v>
      </c>
      <c r="AE276" s="0" t="s">
        <v>1707</v>
      </c>
      <c r="AF276" s="0" t="s">
        <v>1708</v>
      </c>
      <c r="AG276" s="0" t="s">
        <v>1709</v>
      </c>
      <c r="AH276" s="0" t="s">
        <v>46</v>
      </c>
      <c r="AI276" s="0" t="s">
        <v>46</v>
      </c>
      <c r="AJ276" s="0" t="s">
        <v>46</v>
      </c>
      <c r="AK276" s="0" t="s">
        <v>46</v>
      </c>
      <c r="AL276" s="0" t="s">
        <v>487</v>
      </c>
    </row>
    <row r="277" customFormat="false" ht="15" hidden="false" customHeight="false" outlineLevel="0" collapsed="false">
      <c r="B277" s="0" t="str">
        <f aca="false">HYPERLINK("https://genome.ucsc.edu/cgi-bin/hgTracks?db=hg19&amp;position=chr21%3A14743754%2D14743754", "chr21:14743754")</f>
        <v>chr21:14743754</v>
      </c>
      <c r="C277" s="0" t="s">
        <v>1702</v>
      </c>
      <c r="D277" s="0" t="n">
        <v>14743754</v>
      </c>
      <c r="E277" s="0" t="n">
        <v>14743754</v>
      </c>
      <c r="F277" s="0" t="s">
        <v>40</v>
      </c>
      <c r="G277" s="0" t="s">
        <v>82</v>
      </c>
      <c r="H277" s="0" t="s">
        <v>1710</v>
      </c>
      <c r="I277" s="0" t="s">
        <v>1694</v>
      </c>
      <c r="J277" s="0" t="s">
        <v>1711</v>
      </c>
      <c r="K277" s="0" t="s">
        <v>46</v>
      </c>
      <c r="L277" s="0" t="str">
        <f aca="false">HYPERLINK("https://www.ncbi.nlm.nih.gov/snp/rs74734987", "rs74734987")</f>
        <v>rs74734987</v>
      </c>
      <c r="M277" s="0" t="s">
        <v>46</v>
      </c>
      <c r="N277" s="0" t="s">
        <v>1712</v>
      </c>
      <c r="O277" s="0" t="s">
        <v>46</v>
      </c>
      <c r="P277" s="0" t="s">
        <v>1713</v>
      </c>
      <c r="Q277" s="0" t="n">
        <v>7.307E-005</v>
      </c>
      <c r="R277" s="0" t="n">
        <v>9.188E-005</v>
      </c>
      <c r="S277" s="0" t="n">
        <v>7.467E-005</v>
      </c>
      <c r="T277" s="0" t="n">
        <v>-1</v>
      </c>
      <c r="U277" s="0" t="n">
        <v>0.0002</v>
      </c>
      <c r="V277" s="0" t="s">
        <v>46</v>
      </c>
      <c r="W277" s="0" t="s">
        <v>46</v>
      </c>
      <c r="X277" s="0" t="s">
        <v>354</v>
      </c>
      <c r="Y277" s="0" t="s">
        <v>200</v>
      </c>
      <c r="Z277" s="0" t="s">
        <v>46</v>
      </c>
      <c r="AA277" s="0" t="s">
        <v>46</v>
      </c>
      <c r="AB277" s="0" t="s">
        <v>46</v>
      </c>
      <c r="AC277" s="0" t="s">
        <v>50</v>
      </c>
      <c r="AD277" s="0" t="s">
        <v>210</v>
      </c>
      <c r="AE277" s="0" t="s">
        <v>46</v>
      </c>
      <c r="AF277" s="0" t="s">
        <v>46</v>
      </c>
      <c r="AG277" s="0" t="s">
        <v>46</v>
      </c>
      <c r="AH277" s="0" t="s">
        <v>46</v>
      </c>
      <c r="AI277" s="0" t="s">
        <v>46</v>
      </c>
      <c r="AJ277" s="0" t="s">
        <v>46</v>
      </c>
      <c r="AK277" s="0" t="s">
        <v>46</v>
      </c>
      <c r="AL277" s="0" t="s">
        <v>46</v>
      </c>
    </row>
    <row r="278" customFormat="false" ht="15" hidden="false" customHeight="false" outlineLevel="0" collapsed="false">
      <c r="B278" s="0" t="str">
        <f aca="false">HYPERLINK("https://genome.ucsc.edu/cgi-bin/hgTracks?db=hg19&amp;position=chr21%3A14743800%2D14743800", "chr21:14743800")</f>
        <v>chr21:14743800</v>
      </c>
      <c r="C278" s="0" t="s">
        <v>1702</v>
      </c>
      <c r="D278" s="0" t="n">
        <v>14743800</v>
      </c>
      <c r="E278" s="0" t="n">
        <v>14743800</v>
      </c>
      <c r="F278" s="0" t="s">
        <v>57</v>
      </c>
      <c r="G278" s="0" t="s">
        <v>82</v>
      </c>
      <c r="H278" s="0" t="s">
        <v>1714</v>
      </c>
      <c r="I278" s="0" t="s">
        <v>812</v>
      </c>
      <c r="J278" s="0" t="s">
        <v>1715</v>
      </c>
      <c r="K278" s="0" t="s">
        <v>46</v>
      </c>
      <c r="L278" s="0" t="str">
        <f aca="false">HYPERLINK("https://www.ncbi.nlm.nih.gov/snp/rs796634144", "rs796634144")</f>
        <v>rs796634144</v>
      </c>
      <c r="M278" s="0" t="s">
        <v>46</v>
      </c>
      <c r="N278" s="0" t="s">
        <v>1716</v>
      </c>
      <c r="O278" s="0" t="s">
        <v>46</v>
      </c>
      <c r="P278" s="0" t="s">
        <v>1717</v>
      </c>
      <c r="Q278" s="0" t="n">
        <v>0.0001</v>
      </c>
      <c r="R278" s="0" t="n">
        <v>0.0001</v>
      </c>
      <c r="S278" s="0" t="n">
        <v>-1</v>
      </c>
      <c r="T278" s="0" t="n">
        <v>-1</v>
      </c>
      <c r="U278" s="0" t="n">
        <v>-1</v>
      </c>
      <c r="V278" s="0" t="s">
        <v>46</v>
      </c>
      <c r="W278" s="0" t="s">
        <v>46</v>
      </c>
      <c r="X278" s="0" t="s">
        <v>354</v>
      </c>
      <c r="Y278" s="0" t="s">
        <v>48</v>
      </c>
      <c r="Z278" s="0" t="s">
        <v>46</v>
      </c>
      <c r="AA278" s="0" t="s">
        <v>46</v>
      </c>
      <c r="AB278" s="0" t="s">
        <v>46</v>
      </c>
      <c r="AC278" s="0" t="s">
        <v>50</v>
      </c>
      <c r="AD278" s="0" t="s">
        <v>210</v>
      </c>
      <c r="AE278" s="0" t="s">
        <v>46</v>
      </c>
      <c r="AF278" s="0" t="s">
        <v>46</v>
      </c>
      <c r="AG278" s="0" t="s">
        <v>46</v>
      </c>
      <c r="AH278" s="0" t="s">
        <v>46</v>
      </c>
      <c r="AI278" s="0" t="s">
        <v>571</v>
      </c>
      <c r="AJ278" s="0" t="s">
        <v>46</v>
      </c>
      <c r="AK278" s="0" t="s">
        <v>46</v>
      </c>
      <c r="AL278" s="0" t="s">
        <v>46</v>
      </c>
    </row>
    <row r="279" s="5" customFormat="true" ht="15" hidden="false" customHeight="false" outlineLevel="0" collapsed="false">
      <c r="B279" s="5" t="str">
        <f aca="false">HYPERLINK("https://genome.ucsc.edu/cgi-bin/hgTracks?db=hg19&amp;position=chr21%3A34652166%2D34652166", "chr21:34652166")</f>
        <v>chr21:34652166</v>
      </c>
      <c r="C279" s="5" t="s">
        <v>1702</v>
      </c>
      <c r="D279" s="5" t="n">
        <v>34652166</v>
      </c>
      <c r="E279" s="5" t="n">
        <v>34652166</v>
      </c>
      <c r="F279" s="5" t="s">
        <v>82</v>
      </c>
      <c r="G279" s="5" t="s">
        <v>185</v>
      </c>
      <c r="H279" s="5" t="s">
        <v>1718</v>
      </c>
      <c r="I279" s="5" t="s">
        <v>206</v>
      </c>
      <c r="J279" s="5" t="s">
        <v>1719</v>
      </c>
      <c r="K279" s="5" t="s">
        <v>46</v>
      </c>
      <c r="L279" s="5" t="s">
        <v>46</v>
      </c>
      <c r="M279" s="5" t="str">
        <f aca="false">HYPERLINK("https://www.genecards.org/Search/Keyword?queryString=%5Baliases%5D(%20IL10RB%20)&amp;keywords=IL10RB", "IL10RB")</f>
        <v>IL10RB</v>
      </c>
      <c r="N279" s="5" t="s">
        <v>62</v>
      </c>
      <c r="O279" s="5" t="s">
        <v>262</v>
      </c>
      <c r="P279" s="5" t="s">
        <v>1720</v>
      </c>
      <c r="Q279" s="5" t="n">
        <v>-1</v>
      </c>
      <c r="R279" s="5" t="n">
        <v>-1</v>
      </c>
      <c r="S279" s="5" t="n">
        <v>-1</v>
      </c>
      <c r="T279" s="5" t="n">
        <v>-1</v>
      </c>
      <c r="U279" s="5" t="n">
        <v>-1</v>
      </c>
      <c r="V279" s="5" t="s">
        <v>46</v>
      </c>
      <c r="W279" s="5" t="s">
        <v>46</v>
      </c>
      <c r="X279" s="5" t="s">
        <v>46</v>
      </c>
      <c r="Y279" s="5" t="s">
        <v>46</v>
      </c>
      <c r="Z279" s="5" t="s">
        <v>46</v>
      </c>
      <c r="AA279" s="5" t="s">
        <v>46</v>
      </c>
      <c r="AB279" s="5" t="s">
        <v>46</v>
      </c>
      <c r="AC279" s="5" t="s">
        <v>50</v>
      </c>
      <c r="AD279" s="5" t="s">
        <v>51</v>
      </c>
      <c r="AE279" s="5" t="s">
        <v>1721</v>
      </c>
      <c r="AF279" s="5" t="s">
        <v>1722</v>
      </c>
      <c r="AG279" s="5" t="s">
        <v>1723</v>
      </c>
      <c r="AH279" s="5" t="s">
        <v>1724</v>
      </c>
      <c r="AI279" s="5" t="s">
        <v>46</v>
      </c>
      <c r="AJ279" s="5" t="s">
        <v>46</v>
      </c>
      <c r="AK279" s="5" t="s">
        <v>46</v>
      </c>
      <c r="AL279" s="5" t="s">
        <v>46</v>
      </c>
    </row>
    <row r="280" customFormat="false" ht="15" hidden="false" customHeight="false" outlineLevel="0" collapsed="false">
      <c r="B280" s="0" t="str">
        <f aca="false">HYPERLINK("https://genome.ucsc.edu/cgi-bin/hgTracks?db=hg19&amp;position=chr21%3A44589920%2D44589920", "chr21:44589920")</f>
        <v>chr21:44589920</v>
      </c>
      <c r="C280" s="0" t="s">
        <v>1702</v>
      </c>
      <c r="D280" s="0" t="n">
        <v>44589920</v>
      </c>
      <c r="E280" s="0" t="n">
        <v>44589920</v>
      </c>
      <c r="F280" s="0" t="s">
        <v>185</v>
      </c>
      <c r="G280" s="0" t="s">
        <v>40</v>
      </c>
      <c r="H280" s="0" t="s">
        <v>1725</v>
      </c>
      <c r="I280" s="0" t="s">
        <v>141</v>
      </c>
      <c r="J280" s="0" t="s">
        <v>1726</v>
      </c>
      <c r="K280" s="0" t="s">
        <v>46</v>
      </c>
      <c r="L280" s="0" t="str">
        <f aca="false">HYPERLINK("https://www.ncbi.nlm.nih.gov/snp/rs5844151", "rs5844151")</f>
        <v>rs5844151</v>
      </c>
      <c r="M280" s="0" t="str">
        <f aca="false">HYPERLINK("https://www.genecards.org/Search/Keyword?queryString=%5Baliases%5D(%20CRYAA%20)%20OR%20%5Baliases%5D(%20CRYAA2%20)&amp;keywords=CRYAA,CRYAA2", "CRYAA;CRYAA2")</f>
        <v>CRYAA;CRYAA2</v>
      </c>
      <c r="N280" s="0" t="s">
        <v>280</v>
      </c>
      <c r="O280" s="0" t="s">
        <v>273</v>
      </c>
      <c r="P280" s="0" t="s">
        <v>1727</v>
      </c>
      <c r="Q280" s="0" t="n">
        <v>0.0001164</v>
      </c>
      <c r="R280" s="0" t="n">
        <v>-1</v>
      </c>
      <c r="S280" s="0" t="n">
        <v>-1</v>
      </c>
      <c r="T280" s="0" t="n">
        <v>-1</v>
      </c>
      <c r="U280" s="0" t="n">
        <v>-1</v>
      </c>
      <c r="V280" s="0" t="s">
        <v>46</v>
      </c>
      <c r="W280" s="0" t="s">
        <v>46</v>
      </c>
      <c r="X280" s="0" t="s">
        <v>46</v>
      </c>
      <c r="Y280" s="0" t="s">
        <v>46</v>
      </c>
      <c r="Z280" s="0" t="s">
        <v>46</v>
      </c>
      <c r="AA280" s="0" t="s">
        <v>46</v>
      </c>
      <c r="AB280" s="0" t="s">
        <v>46</v>
      </c>
      <c r="AC280" s="0" t="s">
        <v>50</v>
      </c>
      <c r="AD280" s="0" t="s">
        <v>191</v>
      </c>
      <c r="AE280" s="0" t="s">
        <v>1728</v>
      </c>
      <c r="AF280" s="0" t="s">
        <v>1729</v>
      </c>
      <c r="AG280" s="0" t="s">
        <v>1730</v>
      </c>
      <c r="AH280" s="0" t="s">
        <v>1731</v>
      </c>
      <c r="AI280" s="0" t="s">
        <v>46</v>
      </c>
      <c r="AJ280" s="0" t="s">
        <v>46</v>
      </c>
      <c r="AK280" s="0" t="s">
        <v>46</v>
      </c>
      <c r="AL280" s="0" t="s">
        <v>46</v>
      </c>
    </row>
    <row r="281" customFormat="false" ht="15" hidden="false" customHeight="false" outlineLevel="0" collapsed="false">
      <c r="B281" s="0" t="str">
        <f aca="false">HYPERLINK("https://genome.ucsc.edu/cgi-bin/hgTracks?db=hg19&amp;position=chr21%3A45929369%2D45929384", "chr21:45929369")</f>
        <v>chr21:45929369</v>
      </c>
      <c r="C281" s="0" t="s">
        <v>1702</v>
      </c>
      <c r="D281" s="0" t="n">
        <v>45929369</v>
      </c>
      <c r="E281" s="0" t="n">
        <v>45929384</v>
      </c>
      <c r="F281" s="0" t="s">
        <v>1732</v>
      </c>
      <c r="G281" s="0" t="s">
        <v>185</v>
      </c>
      <c r="H281" s="0" t="s">
        <v>1733</v>
      </c>
      <c r="I281" s="0" t="s">
        <v>690</v>
      </c>
      <c r="J281" s="0" t="s">
        <v>1734</v>
      </c>
      <c r="K281" s="0" t="s">
        <v>46</v>
      </c>
      <c r="L281" s="0" t="s">
        <v>46</v>
      </c>
      <c r="M281" s="0" t="str">
        <f aca="false">HYPERLINK("https://www.genecards.org/Search/Keyword?queryString=%5Baliases%5D(%20TSPEAR%20)%20OR%20%5Baliases%5D(%20TSPEAR-AS1%20)&amp;keywords=TSPEAR,TSPEAR-AS1", "TSPEAR;TSPEAR-AS1")</f>
        <v>TSPEAR;TSPEAR-AS1</v>
      </c>
      <c r="N281" s="0" t="s">
        <v>306</v>
      </c>
      <c r="O281" s="0" t="s">
        <v>46</v>
      </c>
      <c r="P281" s="0" t="s">
        <v>46</v>
      </c>
      <c r="Q281" s="0" t="n">
        <v>0.0006</v>
      </c>
      <c r="R281" s="0" t="n">
        <v>0.0003</v>
      </c>
      <c r="S281" s="0" t="n">
        <v>0.0005</v>
      </c>
      <c r="T281" s="0" t="n">
        <v>-1</v>
      </c>
      <c r="U281" s="0" t="n">
        <v>0.0002</v>
      </c>
      <c r="V281" s="0" t="s">
        <v>46</v>
      </c>
      <c r="W281" s="0" t="s">
        <v>46</v>
      </c>
      <c r="X281" s="0" t="s">
        <v>46</v>
      </c>
      <c r="Y281" s="0" t="s">
        <v>46</v>
      </c>
      <c r="Z281" s="0" t="s">
        <v>46</v>
      </c>
      <c r="AA281" s="0" t="s">
        <v>46</v>
      </c>
      <c r="AB281" s="0" t="s">
        <v>46</v>
      </c>
      <c r="AC281" s="0" t="s">
        <v>219</v>
      </c>
      <c r="AD281" s="0" t="s">
        <v>1735</v>
      </c>
      <c r="AE281" s="0" t="s">
        <v>1736</v>
      </c>
      <c r="AF281" s="0" t="s">
        <v>1737</v>
      </c>
      <c r="AG281" s="0" t="s">
        <v>1738</v>
      </c>
      <c r="AH281" s="0" t="s">
        <v>1739</v>
      </c>
      <c r="AI281" s="0" t="s">
        <v>46</v>
      </c>
      <c r="AJ281" s="0" t="s">
        <v>46</v>
      </c>
      <c r="AK281" s="0" t="s">
        <v>46</v>
      </c>
      <c r="AL281" s="0" t="s">
        <v>46</v>
      </c>
    </row>
    <row r="282" customFormat="false" ht="15" hidden="false" customHeight="false" outlineLevel="0" collapsed="false">
      <c r="B282" s="0" t="str">
        <f aca="false">HYPERLINK("https://genome.ucsc.edu/cgi-bin/hgTracks?db=hg19&amp;position=chr21%3A45929388%2D45929393", "chr21:45929388")</f>
        <v>chr21:45929388</v>
      </c>
      <c r="C282" s="0" t="s">
        <v>1702</v>
      </c>
      <c r="D282" s="0" t="n">
        <v>45929388</v>
      </c>
      <c r="E282" s="0" t="n">
        <v>45929393</v>
      </c>
      <c r="F282" s="0" t="s">
        <v>1740</v>
      </c>
      <c r="G282" s="0" t="s">
        <v>185</v>
      </c>
      <c r="H282" s="0" t="s">
        <v>1741</v>
      </c>
      <c r="I282" s="0" t="s">
        <v>141</v>
      </c>
      <c r="J282" s="0" t="s">
        <v>1742</v>
      </c>
      <c r="K282" s="0" t="s">
        <v>46</v>
      </c>
      <c r="L282" s="0" t="s">
        <v>46</v>
      </c>
      <c r="M282" s="0" t="str">
        <f aca="false">HYPERLINK("https://www.genecards.org/Search/Keyword?queryString=%5Baliases%5D(%20TSPEAR%20)%20OR%20%5Baliases%5D(%20TSPEAR-AS1%20)&amp;keywords=TSPEAR,TSPEAR-AS1", "TSPEAR;TSPEAR-AS1")</f>
        <v>TSPEAR;TSPEAR-AS1</v>
      </c>
      <c r="N282" s="0" t="s">
        <v>306</v>
      </c>
      <c r="O282" s="0" t="s">
        <v>46</v>
      </c>
      <c r="P282" s="0" t="s">
        <v>46</v>
      </c>
      <c r="Q282" s="0" t="n">
        <v>0.0011</v>
      </c>
      <c r="R282" s="0" t="n">
        <v>0.0006</v>
      </c>
      <c r="S282" s="0" t="n">
        <v>0.0009</v>
      </c>
      <c r="T282" s="0" t="n">
        <v>-1</v>
      </c>
      <c r="U282" s="0" t="n">
        <v>0.0005</v>
      </c>
      <c r="V282" s="0" t="s">
        <v>46</v>
      </c>
      <c r="W282" s="0" t="s">
        <v>46</v>
      </c>
      <c r="X282" s="0" t="s">
        <v>46</v>
      </c>
      <c r="Y282" s="0" t="s">
        <v>46</v>
      </c>
      <c r="Z282" s="0" t="s">
        <v>46</v>
      </c>
      <c r="AA282" s="0" t="s">
        <v>46</v>
      </c>
      <c r="AB282" s="0" t="s">
        <v>46</v>
      </c>
      <c r="AC282" s="0" t="s">
        <v>219</v>
      </c>
      <c r="AD282" s="0" t="s">
        <v>1735</v>
      </c>
      <c r="AE282" s="0" t="s">
        <v>1736</v>
      </c>
      <c r="AF282" s="0" t="s">
        <v>1737</v>
      </c>
      <c r="AG282" s="0" t="s">
        <v>1738</v>
      </c>
      <c r="AH282" s="0" t="s">
        <v>1739</v>
      </c>
      <c r="AI282" s="0" t="s">
        <v>46</v>
      </c>
      <c r="AJ282" s="0" t="s">
        <v>46</v>
      </c>
      <c r="AK282" s="0" t="s">
        <v>46</v>
      </c>
      <c r="AL282" s="0" t="s">
        <v>46</v>
      </c>
    </row>
    <row r="283" customFormat="false" ht="15" hidden="false" customHeight="false" outlineLevel="0" collapsed="false">
      <c r="B283" s="0" t="str">
        <f aca="false">HYPERLINK("https://genome.ucsc.edu/cgi-bin/hgTracks?db=hg19&amp;position=chr21%3A45929397%2D45929397", "chr21:45929397")</f>
        <v>chr21:45929397</v>
      </c>
      <c r="C283" s="0" t="s">
        <v>1702</v>
      </c>
      <c r="D283" s="0" t="n">
        <v>45929397</v>
      </c>
      <c r="E283" s="0" t="n">
        <v>45929397</v>
      </c>
      <c r="F283" s="0" t="s">
        <v>39</v>
      </c>
      <c r="G283" s="0" t="s">
        <v>40</v>
      </c>
      <c r="H283" s="0" t="s">
        <v>1743</v>
      </c>
      <c r="I283" s="0" t="s">
        <v>574</v>
      </c>
      <c r="J283" s="0" t="s">
        <v>1744</v>
      </c>
      <c r="K283" s="0" t="s">
        <v>46</v>
      </c>
      <c r="L283" s="0" t="str">
        <f aca="false">HYPERLINK("https://www.ncbi.nlm.nih.gov/snp/rs797026737", "rs797026737")</f>
        <v>rs797026737</v>
      </c>
      <c r="M283" s="0" t="str">
        <f aca="false">HYPERLINK("https://www.genecards.org/Search/Keyword?queryString=%5Baliases%5D(%20TSPEAR%20)%20OR%20%5Baliases%5D(%20TSPEAR-AS1%20)&amp;keywords=TSPEAR,TSPEAR-AS1", "TSPEAR;TSPEAR-AS1")</f>
        <v>TSPEAR;TSPEAR-AS1</v>
      </c>
      <c r="N283" s="0" t="s">
        <v>306</v>
      </c>
      <c r="O283" s="0" t="s">
        <v>46</v>
      </c>
      <c r="P283" s="0" t="s">
        <v>46</v>
      </c>
      <c r="Q283" s="0" t="n">
        <v>0.020211</v>
      </c>
      <c r="R283" s="0" t="n">
        <v>0.0019</v>
      </c>
      <c r="S283" s="0" t="n">
        <v>0.0007</v>
      </c>
      <c r="T283" s="0" t="n">
        <v>-1</v>
      </c>
      <c r="U283" s="0" t="n">
        <v>0.0007</v>
      </c>
      <c r="V283" s="0" t="s">
        <v>46</v>
      </c>
      <c r="W283" s="0" t="s">
        <v>46</v>
      </c>
      <c r="X283" s="0" t="s">
        <v>307</v>
      </c>
      <c r="Y283" s="0" t="s">
        <v>48</v>
      </c>
      <c r="Z283" s="0" t="s">
        <v>46</v>
      </c>
      <c r="AA283" s="0" t="s">
        <v>46</v>
      </c>
      <c r="AB283" s="0" t="s">
        <v>46</v>
      </c>
      <c r="AC283" s="0" t="s">
        <v>219</v>
      </c>
      <c r="AD283" s="0" t="s">
        <v>1735</v>
      </c>
      <c r="AE283" s="0" t="s">
        <v>1736</v>
      </c>
      <c r="AF283" s="0" t="s">
        <v>1737</v>
      </c>
      <c r="AG283" s="0" t="s">
        <v>1738</v>
      </c>
      <c r="AH283" s="0" t="s">
        <v>1739</v>
      </c>
      <c r="AI283" s="0" t="s">
        <v>46</v>
      </c>
      <c r="AJ283" s="0" t="s">
        <v>46</v>
      </c>
      <c r="AK283" s="0" t="s">
        <v>46</v>
      </c>
      <c r="AL283" s="0" t="s">
        <v>46</v>
      </c>
    </row>
    <row r="284" customFormat="false" ht="15" hidden="false" customHeight="false" outlineLevel="0" collapsed="false">
      <c r="B284" s="0" t="str">
        <f aca="false">HYPERLINK("https://genome.ucsc.edu/cgi-bin/hgTracks?db=hg19&amp;position=chr21%3A47929003%2D47929003", "chr21:47929003")</f>
        <v>chr21:47929003</v>
      </c>
      <c r="C284" s="0" t="s">
        <v>1702</v>
      </c>
      <c r="D284" s="0" t="n">
        <v>47929003</v>
      </c>
      <c r="E284" s="0" t="n">
        <v>47929003</v>
      </c>
      <c r="F284" s="0" t="s">
        <v>57</v>
      </c>
      <c r="G284" s="0" t="s">
        <v>39</v>
      </c>
      <c r="H284" s="0" t="s">
        <v>1745</v>
      </c>
      <c r="I284" s="0" t="s">
        <v>903</v>
      </c>
      <c r="J284" s="0" t="s">
        <v>904</v>
      </c>
      <c r="K284" s="0" t="s">
        <v>46</v>
      </c>
      <c r="L284" s="0" t="str">
        <f aca="false">HYPERLINK("https://www.ncbi.nlm.nih.gov/snp/rs143174935", "rs143174935")</f>
        <v>rs143174935</v>
      </c>
      <c r="M284" s="0" t="str">
        <f aca="false">HYPERLINK("https://www.genecards.org/Search/Keyword?queryString=%5Baliases%5D(%20DIP2A%20)&amp;keywords=DIP2A", "DIP2A")</f>
        <v>DIP2A</v>
      </c>
      <c r="N284" s="0" t="s">
        <v>45</v>
      </c>
      <c r="O284" s="0" t="s">
        <v>46</v>
      </c>
      <c r="P284" s="0" t="s">
        <v>46</v>
      </c>
      <c r="Q284" s="0" t="n">
        <v>0.0122</v>
      </c>
      <c r="R284" s="0" t="n">
        <v>0.0125</v>
      </c>
      <c r="S284" s="0" t="n">
        <v>0.0122</v>
      </c>
      <c r="T284" s="0" t="n">
        <v>-1</v>
      </c>
      <c r="U284" s="0" t="n">
        <v>0.0131</v>
      </c>
      <c r="V284" s="0" t="s">
        <v>46</v>
      </c>
      <c r="W284" s="0" t="s">
        <v>46</v>
      </c>
      <c r="X284" s="0" t="s">
        <v>47</v>
      </c>
      <c r="Y284" s="0" t="s">
        <v>48</v>
      </c>
      <c r="Z284" s="0" t="s">
        <v>46</v>
      </c>
      <c r="AA284" s="0" t="s">
        <v>46</v>
      </c>
      <c r="AB284" s="0" t="s">
        <v>46</v>
      </c>
      <c r="AC284" s="0" t="s">
        <v>50</v>
      </c>
      <c r="AD284" s="0" t="s">
        <v>147</v>
      </c>
      <c r="AE284" s="0" t="s">
        <v>1746</v>
      </c>
      <c r="AF284" s="0" t="s">
        <v>1747</v>
      </c>
      <c r="AG284" s="0" t="s">
        <v>1748</v>
      </c>
      <c r="AH284" s="0" t="s">
        <v>46</v>
      </c>
      <c r="AI284" s="0" t="s">
        <v>46</v>
      </c>
      <c r="AJ284" s="0" t="s">
        <v>46</v>
      </c>
      <c r="AK284" s="0" t="s">
        <v>46</v>
      </c>
      <c r="AL284" s="0" t="s">
        <v>46</v>
      </c>
    </row>
    <row r="285" customFormat="false" ht="15" hidden="false" customHeight="false" outlineLevel="0" collapsed="false">
      <c r="B285" s="0" t="str">
        <f aca="false">HYPERLINK("https://genome.ucsc.edu/cgi-bin/hgTracks?db=hg19&amp;position=chr21%3A47931458%2D47931459", "chr21:47931458")</f>
        <v>chr21:47931458</v>
      </c>
      <c r="C285" s="0" t="s">
        <v>1702</v>
      </c>
      <c r="D285" s="0" t="n">
        <v>47931458</v>
      </c>
      <c r="E285" s="0" t="n">
        <v>47931459</v>
      </c>
      <c r="F285" s="0" t="s">
        <v>1642</v>
      </c>
      <c r="G285" s="0" t="s">
        <v>185</v>
      </c>
      <c r="H285" s="0" t="s">
        <v>1749</v>
      </c>
      <c r="I285" s="0" t="s">
        <v>1750</v>
      </c>
      <c r="J285" s="0" t="s">
        <v>1751</v>
      </c>
      <c r="K285" s="0" t="s">
        <v>46</v>
      </c>
      <c r="L285" s="0" t="s">
        <v>46</v>
      </c>
      <c r="M285" s="0" t="str">
        <f aca="false">HYPERLINK("https://www.genecards.org/Search/Keyword?queryString=%5Baliases%5D(%20DIP2A%20)&amp;keywords=DIP2A", "DIP2A")</f>
        <v>DIP2A</v>
      </c>
      <c r="N285" s="0" t="s">
        <v>62</v>
      </c>
      <c r="O285" s="0" t="s">
        <v>262</v>
      </c>
      <c r="P285" s="0" t="s">
        <v>1752</v>
      </c>
      <c r="Q285" s="0" t="n">
        <v>-1</v>
      </c>
      <c r="R285" s="0" t="n">
        <v>-1</v>
      </c>
      <c r="S285" s="0" t="n">
        <v>-1</v>
      </c>
      <c r="T285" s="0" t="n">
        <v>-1</v>
      </c>
      <c r="U285" s="0" t="n">
        <v>-1</v>
      </c>
      <c r="V285" s="0" t="s">
        <v>46</v>
      </c>
      <c r="W285" s="0" t="s">
        <v>46</v>
      </c>
      <c r="X285" s="0" t="s">
        <v>46</v>
      </c>
      <c r="Y285" s="0" t="s">
        <v>46</v>
      </c>
      <c r="Z285" s="0" t="s">
        <v>46</v>
      </c>
      <c r="AA285" s="0" t="s">
        <v>46</v>
      </c>
      <c r="AB285" s="0" t="s">
        <v>46</v>
      </c>
      <c r="AC285" s="0" t="s">
        <v>50</v>
      </c>
      <c r="AD285" s="0" t="s">
        <v>147</v>
      </c>
      <c r="AE285" s="0" t="s">
        <v>1746</v>
      </c>
      <c r="AF285" s="0" t="s">
        <v>1747</v>
      </c>
      <c r="AG285" s="0" t="s">
        <v>1748</v>
      </c>
      <c r="AH285" s="0" t="s">
        <v>46</v>
      </c>
      <c r="AI285" s="0" t="s">
        <v>46</v>
      </c>
      <c r="AJ285" s="0" t="s">
        <v>46</v>
      </c>
      <c r="AK285" s="0" t="s">
        <v>46</v>
      </c>
      <c r="AL285" s="0" t="s">
        <v>46</v>
      </c>
    </row>
    <row r="286" customFormat="false" ht="15" hidden="false" customHeight="false" outlineLevel="0" collapsed="false">
      <c r="B286" s="0" t="str">
        <f aca="false">HYPERLINK("https://genome.ucsc.edu/cgi-bin/hgTracks?db=hg19&amp;position=chr22%3A25023755%2D25023755", "chr22:25023755")</f>
        <v>chr22:25023755</v>
      </c>
      <c r="C286" s="0" t="s">
        <v>107</v>
      </c>
      <c r="D286" s="0" t="n">
        <v>25023755</v>
      </c>
      <c r="E286" s="0" t="n">
        <v>25023755</v>
      </c>
      <c r="F286" s="0" t="s">
        <v>39</v>
      </c>
      <c r="G286" s="0" t="s">
        <v>57</v>
      </c>
      <c r="H286" s="0" t="s">
        <v>1753</v>
      </c>
      <c r="I286" s="0" t="s">
        <v>98</v>
      </c>
      <c r="J286" s="0" t="s">
        <v>1754</v>
      </c>
      <c r="K286" s="0" t="s">
        <v>46</v>
      </c>
      <c r="L286" s="0" t="str">
        <f aca="false">HYPERLINK("https://www.ncbi.nlm.nih.gov/snp/rs62231234", "rs62231234")</f>
        <v>rs62231234</v>
      </c>
      <c r="M286" s="0" t="str">
        <f aca="false">HYPERLINK("https://www.genecards.org/Search/Keyword?queryString=%5Baliases%5D(%20GGT1%20)&amp;keywords=GGT1", "GGT1")</f>
        <v>GGT1</v>
      </c>
      <c r="N286" s="0" t="s">
        <v>45</v>
      </c>
      <c r="O286" s="0" t="s">
        <v>46</v>
      </c>
      <c r="P286" s="0" t="s">
        <v>46</v>
      </c>
      <c r="Q286" s="0" t="n">
        <v>0.0179</v>
      </c>
      <c r="R286" s="0" t="n">
        <v>0.01</v>
      </c>
      <c r="S286" s="0" t="n">
        <v>0.0104</v>
      </c>
      <c r="T286" s="0" t="n">
        <v>-1</v>
      </c>
      <c r="U286" s="0" t="n">
        <v>0.0064</v>
      </c>
      <c r="V286" s="0" t="s">
        <v>46</v>
      </c>
      <c r="W286" s="0" t="s">
        <v>46</v>
      </c>
      <c r="X286" s="0" t="s">
        <v>47</v>
      </c>
      <c r="Y286" s="0" t="s">
        <v>48</v>
      </c>
      <c r="Z286" s="0" t="s">
        <v>46</v>
      </c>
      <c r="AA286" s="0" t="s">
        <v>46</v>
      </c>
      <c r="AB286" s="0" t="s">
        <v>46</v>
      </c>
      <c r="AC286" s="0" t="s">
        <v>50</v>
      </c>
      <c r="AD286" s="0" t="s">
        <v>210</v>
      </c>
      <c r="AE286" s="0" t="s">
        <v>1755</v>
      </c>
      <c r="AF286" s="0" t="s">
        <v>1756</v>
      </c>
      <c r="AG286" s="0" t="s">
        <v>1757</v>
      </c>
      <c r="AH286" s="0" t="s">
        <v>1758</v>
      </c>
      <c r="AI286" s="0" t="s">
        <v>46</v>
      </c>
      <c r="AJ286" s="0" t="s">
        <v>46</v>
      </c>
      <c r="AK286" s="0" t="s">
        <v>46</v>
      </c>
      <c r="AL286" s="0" t="s">
        <v>182</v>
      </c>
    </row>
    <row r="287" customFormat="false" ht="15" hidden="false" customHeight="false" outlineLevel="0" collapsed="false">
      <c r="B287" s="0" t="str">
        <f aca="false">HYPERLINK("https://genome.ucsc.edu/cgi-bin/hgTracks?db=hg19&amp;position=chr22%3A25023993%2D25023993", "chr22:25023993")</f>
        <v>chr22:25023993</v>
      </c>
      <c r="C287" s="0" t="s">
        <v>107</v>
      </c>
      <c r="D287" s="0" t="n">
        <v>25023993</v>
      </c>
      <c r="E287" s="0" t="n">
        <v>25023993</v>
      </c>
      <c r="F287" s="0" t="s">
        <v>39</v>
      </c>
      <c r="G287" s="0" t="s">
        <v>57</v>
      </c>
      <c r="H287" s="0" t="s">
        <v>1759</v>
      </c>
      <c r="I287" s="0" t="s">
        <v>1375</v>
      </c>
      <c r="J287" s="0" t="s">
        <v>1760</v>
      </c>
      <c r="K287" s="0" t="s">
        <v>46</v>
      </c>
      <c r="L287" s="0" t="str">
        <f aca="false">HYPERLINK("https://www.ncbi.nlm.nih.gov/snp/rs369136147", "rs369136147")</f>
        <v>rs369136147</v>
      </c>
      <c r="M287" s="0" t="str">
        <f aca="false">HYPERLINK("https://www.genecards.org/Search/Keyword?queryString=%5Baliases%5D(%20GGT1%20)&amp;keywords=GGT1", "GGT1")</f>
        <v>GGT1</v>
      </c>
      <c r="N287" s="0" t="s">
        <v>45</v>
      </c>
      <c r="O287" s="0" t="s">
        <v>46</v>
      </c>
      <c r="P287" s="0" t="s">
        <v>46</v>
      </c>
      <c r="Q287" s="0" t="n">
        <v>0.0008</v>
      </c>
      <c r="R287" s="0" t="n">
        <v>0.0004</v>
      </c>
      <c r="S287" s="0" t="n">
        <v>0.0006</v>
      </c>
      <c r="T287" s="0" t="n">
        <v>-1</v>
      </c>
      <c r="U287" s="0" t="n">
        <v>0.0008</v>
      </c>
      <c r="V287" s="0" t="s">
        <v>46</v>
      </c>
      <c r="W287" s="0" t="s">
        <v>46</v>
      </c>
      <c r="X287" s="0" t="s">
        <v>47</v>
      </c>
      <c r="Y287" s="0" t="s">
        <v>48</v>
      </c>
      <c r="Z287" s="0" t="s">
        <v>46</v>
      </c>
      <c r="AA287" s="0" t="s">
        <v>46</v>
      </c>
      <c r="AB287" s="0" t="s">
        <v>46</v>
      </c>
      <c r="AC287" s="0" t="s">
        <v>50</v>
      </c>
      <c r="AD287" s="0" t="s">
        <v>210</v>
      </c>
      <c r="AE287" s="0" t="s">
        <v>1755</v>
      </c>
      <c r="AF287" s="0" t="s">
        <v>1756</v>
      </c>
      <c r="AG287" s="0" t="s">
        <v>1757</v>
      </c>
      <c r="AH287" s="0" t="s">
        <v>1758</v>
      </c>
      <c r="AI287" s="0" t="s">
        <v>46</v>
      </c>
      <c r="AJ287" s="0" t="s">
        <v>46</v>
      </c>
      <c r="AK287" s="0" t="s">
        <v>46</v>
      </c>
      <c r="AL287" s="0" t="s">
        <v>182</v>
      </c>
    </row>
    <row r="288" customFormat="false" ht="15" hidden="false" customHeight="false" outlineLevel="0" collapsed="false">
      <c r="B288" s="0" t="str">
        <f aca="false">HYPERLINK("https://genome.ucsc.edu/cgi-bin/hgTracks?db=hg19&amp;position=chr22%3A25024040%2D25024040", "chr22:25024040")</f>
        <v>chr22:25024040</v>
      </c>
      <c r="C288" s="0" t="s">
        <v>107</v>
      </c>
      <c r="D288" s="0" t="n">
        <v>25024040</v>
      </c>
      <c r="E288" s="0" t="n">
        <v>25024040</v>
      </c>
      <c r="F288" s="0" t="s">
        <v>39</v>
      </c>
      <c r="G288" s="0" t="s">
        <v>57</v>
      </c>
      <c r="H288" s="0" t="s">
        <v>1761</v>
      </c>
      <c r="I288" s="0" t="s">
        <v>1762</v>
      </c>
      <c r="J288" s="0" t="s">
        <v>1763</v>
      </c>
      <c r="K288" s="0" t="s">
        <v>46</v>
      </c>
      <c r="L288" s="0" t="str">
        <f aca="false">HYPERLINK("https://www.ncbi.nlm.nih.gov/snp/rs74279113", "rs74279113")</f>
        <v>rs74279113</v>
      </c>
      <c r="M288" s="0" t="str">
        <f aca="false">HYPERLINK("https://www.genecards.org/Search/Keyword?queryString=%5Baliases%5D(%20GGT1%20)&amp;keywords=GGT1", "GGT1")</f>
        <v>GGT1</v>
      </c>
      <c r="N288" s="0" t="s">
        <v>45</v>
      </c>
      <c r="O288" s="0" t="s">
        <v>46</v>
      </c>
      <c r="P288" s="0" t="s">
        <v>46</v>
      </c>
      <c r="Q288" s="0" t="n">
        <v>0.0101163</v>
      </c>
      <c r="R288" s="0" t="n">
        <v>-1</v>
      </c>
      <c r="S288" s="0" t="n">
        <v>-1</v>
      </c>
      <c r="T288" s="0" t="n">
        <v>-1</v>
      </c>
      <c r="U288" s="0" t="n">
        <v>-1</v>
      </c>
      <c r="V288" s="0" t="s">
        <v>46</v>
      </c>
      <c r="W288" s="0" t="s">
        <v>47</v>
      </c>
      <c r="X288" s="0" t="s">
        <v>354</v>
      </c>
      <c r="Y288" s="0" t="s">
        <v>200</v>
      </c>
      <c r="Z288" s="0" t="s">
        <v>46</v>
      </c>
      <c r="AA288" s="0" t="s">
        <v>46</v>
      </c>
      <c r="AB288" s="0" t="s">
        <v>46</v>
      </c>
      <c r="AC288" s="0" t="s">
        <v>50</v>
      </c>
      <c r="AD288" s="0" t="s">
        <v>210</v>
      </c>
      <c r="AE288" s="0" t="s">
        <v>1755</v>
      </c>
      <c r="AF288" s="0" t="s">
        <v>1756</v>
      </c>
      <c r="AG288" s="0" t="s">
        <v>1757</v>
      </c>
      <c r="AH288" s="0" t="s">
        <v>1758</v>
      </c>
      <c r="AI288" s="0" t="s">
        <v>571</v>
      </c>
      <c r="AJ288" s="0" t="s">
        <v>46</v>
      </c>
      <c r="AK288" s="0" t="s">
        <v>46</v>
      </c>
      <c r="AL288" s="0" t="s">
        <v>182</v>
      </c>
    </row>
    <row r="289" customFormat="false" ht="15" hidden="false" customHeight="false" outlineLevel="0" collapsed="false">
      <c r="B289" s="0" t="str">
        <f aca="false">HYPERLINK("https://genome.ucsc.edu/cgi-bin/hgTracks?db=hg19&amp;position=chr22%3A25024363%2D25024363", "chr22:25024363")</f>
        <v>chr22:25024363</v>
      </c>
      <c r="C289" s="0" t="s">
        <v>107</v>
      </c>
      <c r="D289" s="0" t="n">
        <v>25024363</v>
      </c>
      <c r="E289" s="0" t="n">
        <v>25024363</v>
      </c>
      <c r="F289" s="0" t="s">
        <v>39</v>
      </c>
      <c r="G289" s="0" t="s">
        <v>57</v>
      </c>
      <c r="H289" s="0" t="s">
        <v>1764</v>
      </c>
      <c r="I289" s="0" t="s">
        <v>1765</v>
      </c>
      <c r="J289" s="0" t="s">
        <v>1766</v>
      </c>
      <c r="K289" s="0" t="s">
        <v>46</v>
      </c>
      <c r="L289" s="0" t="str">
        <f aca="false">HYPERLINK("https://www.ncbi.nlm.nih.gov/snp/rs756886269", "rs756886269")</f>
        <v>rs756886269</v>
      </c>
      <c r="M289" s="0" t="str">
        <f aca="false">HYPERLINK("https://www.genecards.org/Search/Keyword?queryString=%5Baliases%5D(%20GGT1%20)&amp;keywords=GGT1", "GGT1")</f>
        <v>GGT1</v>
      </c>
      <c r="N289" s="0" t="s">
        <v>45</v>
      </c>
      <c r="O289" s="0" t="s">
        <v>46</v>
      </c>
      <c r="P289" s="0" t="s">
        <v>46</v>
      </c>
      <c r="Q289" s="0" t="n">
        <v>6.49E-005</v>
      </c>
      <c r="R289" s="0" t="n">
        <v>9.037E-005</v>
      </c>
      <c r="S289" s="0" t="n">
        <v>7.354E-005</v>
      </c>
      <c r="T289" s="0" t="n">
        <v>-1</v>
      </c>
      <c r="U289" s="0" t="n">
        <v>-1</v>
      </c>
      <c r="V289" s="0" t="s">
        <v>46</v>
      </c>
      <c r="W289" s="0" t="s">
        <v>82</v>
      </c>
      <c r="X289" s="0" t="s">
        <v>47</v>
      </c>
      <c r="Y289" s="0" t="s">
        <v>48</v>
      </c>
      <c r="Z289" s="0" t="s">
        <v>46</v>
      </c>
      <c r="AA289" s="0" t="s">
        <v>46</v>
      </c>
      <c r="AB289" s="0" t="s">
        <v>46</v>
      </c>
      <c r="AC289" s="0" t="s">
        <v>50</v>
      </c>
      <c r="AD289" s="0" t="s">
        <v>210</v>
      </c>
      <c r="AE289" s="0" t="s">
        <v>1755</v>
      </c>
      <c r="AF289" s="0" t="s">
        <v>1756</v>
      </c>
      <c r="AG289" s="0" t="s">
        <v>1757</v>
      </c>
      <c r="AH289" s="0" t="s">
        <v>1758</v>
      </c>
      <c r="AI289" s="0" t="s">
        <v>46</v>
      </c>
      <c r="AJ289" s="0" t="s">
        <v>46</v>
      </c>
      <c r="AK289" s="0" t="s">
        <v>46</v>
      </c>
      <c r="AL289" s="0" t="s">
        <v>182</v>
      </c>
    </row>
    <row r="290" customFormat="false" ht="15" hidden="false" customHeight="false" outlineLevel="0" collapsed="false">
      <c r="B290" s="0" t="str">
        <f aca="false">HYPERLINK("https://genome.ucsc.edu/cgi-bin/hgTracks?db=hg19&amp;position=chr22%3A30887555%2D30887555", "chr22:30887555")</f>
        <v>chr22:30887555</v>
      </c>
      <c r="C290" s="0" t="s">
        <v>107</v>
      </c>
      <c r="D290" s="0" t="n">
        <v>30887555</v>
      </c>
      <c r="E290" s="0" t="n">
        <v>30887555</v>
      </c>
      <c r="F290" s="0" t="s">
        <v>40</v>
      </c>
      <c r="G290" s="0" t="s">
        <v>82</v>
      </c>
      <c r="H290" s="0" t="s">
        <v>1767</v>
      </c>
      <c r="I290" s="0" t="s">
        <v>1172</v>
      </c>
      <c r="J290" s="0" t="s">
        <v>1768</v>
      </c>
      <c r="K290" s="0" t="s">
        <v>46</v>
      </c>
      <c r="L290" s="0" t="str">
        <f aca="false">HYPERLINK("https://www.ncbi.nlm.nih.gov/snp/rs76073588", "rs76073588")</f>
        <v>rs76073588</v>
      </c>
      <c r="M290" s="0" t="str">
        <f aca="false">HYPERLINK("https://www.genecards.org/Search/Keyword?queryString=%5Baliases%5D(%20SEC14L4%20)&amp;keywords=SEC14L4", "SEC14L4")</f>
        <v>SEC14L4</v>
      </c>
      <c r="N290" s="0" t="s">
        <v>306</v>
      </c>
      <c r="O290" s="0" t="s">
        <v>46</v>
      </c>
      <c r="P290" s="0" t="s">
        <v>46</v>
      </c>
      <c r="Q290" s="0" t="n">
        <v>0.0248</v>
      </c>
      <c r="R290" s="0" t="n">
        <v>0.0279</v>
      </c>
      <c r="S290" s="0" t="n">
        <v>0.0245</v>
      </c>
      <c r="T290" s="0" t="n">
        <v>-1</v>
      </c>
      <c r="U290" s="0" t="n">
        <v>0.0301</v>
      </c>
      <c r="V290" s="0" t="s">
        <v>46</v>
      </c>
      <c r="W290" s="0" t="s">
        <v>47</v>
      </c>
      <c r="X290" s="0" t="s">
        <v>47</v>
      </c>
      <c r="Y290" s="0" t="s">
        <v>200</v>
      </c>
      <c r="Z290" s="0" t="s">
        <v>46</v>
      </c>
      <c r="AA290" s="0" t="s">
        <v>46</v>
      </c>
      <c r="AB290" s="0" t="s">
        <v>46</v>
      </c>
      <c r="AC290" s="0" t="s">
        <v>50</v>
      </c>
      <c r="AD290" s="0" t="s">
        <v>51</v>
      </c>
      <c r="AE290" s="0" t="s">
        <v>1769</v>
      </c>
      <c r="AF290" s="0" t="s">
        <v>1770</v>
      </c>
      <c r="AG290" s="0" t="s">
        <v>1771</v>
      </c>
      <c r="AH290" s="0" t="s">
        <v>46</v>
      </c>
      <c r="AI290" s="0" t="s">
        <v>46</v>
      </c>
      <c r="AJ290" s="0" t="s">
        <v>46</v>
      </c>
      <c r="AK290" s="0" t="s">
        <v>46</v>
      </c>
      <c r="AL290" s="0" t="s">
        <v>487</v>
      </c>
    </row>
    <row r="291" customFormat="false" ht="15" hidden="false" customHeight="false" outlineLevel="0" collapsed="false">
      <c r="B291" s="0" t="str">
        <f aca="false">HYPERLINK("https://genome.ucsc.edu/cgi-bin/hgTracks?db=hg19&amp;position=chr22%3A32888970%2D32888970", "chr22:32888970")</f>
        <v>chr22:32888970</v>
      </c>
      <c r="C291" s="0" t="s">
        <v>107</v>
      </c>
      <c r="D291" s="0" t="n">
        <v>32888970</v>
      </c>
      <c r="E291" s="0" t="n">
        <v>32888970</v>
      </c>
      <c r="F291" s="0" t="s">
        <v>57</v>
      </c>
      <c r="G291" s="0" t="s">
        <v>39</v>
      </c>
      <c r="H291" s="0" t="s">
        <v>1772</v>
      </c>
      <c r="I291" s="0" t="s">
        <v>367</v>
      </c>
      <c r="J291" s="0" t="s">
        <v>1773</v>
      </c>
      <c r="K291" s="0" t="s">
        <v>46</v>
      </c>
      <c r="L291" s="0" t="str">
        <f aca="false">HYPERLINK("https://www.ncbi.nlm.nih.gov/snp/rs17698872", "rs17698872")</f>
        <v>rs17698872</v>
      </c>
      <c r="M291" s="0" t="str">
        <f aca="false">HYPERLINK("https://www.genecards.org/Search/Keyword?queryString=%5Baliases%5D(%20FBXO7%20)&amp;keywords=FBXO7", "FBXO7")</f>
        <v>FBXO7</v>
      </c>
      <c r="N291" s="0" t="s">
        <v>1774</v>
      </c>
      <c r="O291" s="0" t="s">
        <v>46</v>
      </c>
      <c r="P291" s="0" t="s">
        <v>1775</v>
      </c>
      <c r="Q291" s="0" t="n">
        <v>0.0276731</v>
      </c>
      <c r="R291" s="0" t="n">
        <v>0.0232</v>
      </c>
      <c r="S291" s="0" t="n">
        <v>0.024</v>
      </c>
      <c r="T291" s="0" t="n">
        <v>-1</v>
      </c>
      <c r="U291" s="0" t="n">
        <v>0.0181</v>
      </c>
      <c r="V291" s="0" t="s">
        <v>46</v>
      </c>
      <c r="W291" s="0" t="s">
        <v>46</v>
      </c>
      <c r="X291" s="0" t="s">
        <v>47</v>
      </c>
      <c r="Y291" s="0" t="s">
        <v>48</v>
      </c>
      <c r="Z291" s="0" t="s">
        <v>46</v>
      </c>
      <c r="AA291" s="0" t="s">
        <v>46</v>
      </c>
      <c r="AB291" s="0" t="s">
        <v>46</v>
      </c>
      <c r="AC291" s="0" t="s">
        <v>50</v>
      </c>
      <c r="AD291" s="0" t="s">
        <v>51</v>
      </c>
      <c r="AE291" s="0" t="s">
        <v>1776</v>
      </c>
      <c r="AF291" s="0" t="s">
        <v>1777</v>
      </c>
      <c r="AG291" s="0" t="s">
        <v>1778</v>
      </c>
      <c r="AH291" s="0" t="s">
        <v>1779</v>
      </c>
      <c r="AI291" s="0" t="s">
        <v>46</v>
      </c>
      <c r="AJ291" s="0" t="s">
        <v>46</v>
      </c>
      <c r="AK291" s="0" t="s">
        <v>46</v>
      </c>
      <c r="AL291" s="0" t="s">
        <v>46</v>
      </c>
    </row>
    <row r="292" customFormat="false" ht="15" hidden="false" customHeight="false" outlineLevel="0" collapsed="false">
      <c r="B292" s="0" t="str">
        <f aca="false">HYPERLINK("https://genome.ucsc.edu/cgi-bin/hgTracks?db=hg19&amp;position=chr22%3A37260767%2D37260767", "chr22:37260767")</f>
        <v>chr22:37260767</v>
      </c>
      <c r="C292" s="0" t="s">
        <v>107</v>
      </c>
      <c r="D292" s="0" t="n">
        <v>37260767</v>
      </c>
      <c r="E292" s="0" t="n">
        <v>37260767</v>
      </c>
      <c r="F292" s="0" t="s">
        <v>82</v>
      </c>
      <c r="G292" s="0" t="s">
        <v>185</v>
      </c>
      <c r="H292" s="0" t="s">
        <v>1780</v>
      </c>
      <c r="I292" s="0" t="s">
        <v>442</v>
      </c>
      <c r="J292" s="0" t="s">
        <v>601</v>
      </c>
      <c r="K292" s="0" t="s">
        <v>46</v>
      </c>
      <c r="L292" s="0" t="str">
        <f aca="false">HYPERLINK("https://www.ncbi.nlm.nih.gov/snp/rs200534565", "rs200534565")</f>
        <v>rs200534565</v>
      </c>
      <c r="M292" s="0" t="str">
        <f aca="false">HYPERLINK("https://www.genecards.org/Search/Keyword?queryString=%5Baliases%5D(%20NCF4%20)%20OR%20%5Baliases%5D(%20NCF4-AS1%20)&amp;keywords=NCF4,NCF4-AS1", "NCF4;NCF4-AS1")</f>
        <v>NCF4;NCF4-AS1</v>
      </c>
      <c r="N292" s="0" t="s">
        <v>306</v>
      </c>
      <c r="O292" s="0" t="s">
        <v>46</v>
      </c>
      <c r="P292" s="0" t="s">
        <v>46</v>
      </c>
      <c r="Q292" s="0" t="n">
        <v>0.029966</v>
      </c>
      <c r="R292" s="0" t="n">
        <v>0.0036</v>
      </c>
      <c r="S292" s="0" t="n">
        <v>0.0031</v>
      </c>
      <c r="T292" s="0" t="n">
        <v>-1</v>
      </c>
      <c r="U292" s="0" t="n">
        <v>0.0021</v>
      </c>
      <c r="V292" s="0" t="s">
        <v>46</v>
      </c>
      <c r="W292" s="0" t="s">
        <v>46</v>
      </c>
      <c r="X292" s="0" t="s">
        <v>46</v>
      </c>
      <c r="Y292" s="0" t="s">
        <v>46</v>
      </c>
      <c r="Z292" s="0" t="s">
        <v>46</v>
      </c>
      <c r="AA292" s="0" t="s">
        <v>46</v>
      </c>
      <c r="AB292" s="0" t="s">
        <v>46</v>
      </c>
      <c r="AC292" s="0" t="s">
        <v>50</v>
      </c>
      <c r="AD292" s="0" t="s">
        <v>191</v>
      </c>
      <c r="AE292" s="0" t="s">
        <v>1781</v>
      </c>
      <c r="AF292" s="0" t="s">
        <v>1782</v>
      </c>
      <c r="AG292" s="0" t="s">
        <v>1783</v>
      </c>
      <c r="AH292" s="0" t="s">
        <v>1784</v>
      </c>
      <c r="AI292" s="0" t="s">
        <v>46</v>
      </c>
      <c r="AJ292" s="0" t="s">
        <v>46</v>
      </c>
      <c r="AK292" s="0" t="s">
        <v>46</v>
      </c>
      <c r="AL292" s="0" t="s">
        <v>46</v>
      </c>
    </row>
    <row r="293" customFormat="false" ht="15" hidden="false" customHeight="false" outlineLevel="0" collapsed="false">
      <c r="B293" s="0" t="str">
        <f aca="false">HYPERLINK("https://genome.ucsc.edu/cgi-bin/hgTracks?db=hg19&amp;position=chr22%3A41565737%2D41565737", "chr22:41565737")</f>
        <v>chr22:41565737</v>
      </c>
      <c r="C293" s="0" t="s">
        <v>107</v>
      </c>
      <c r="D293" s="0" t="n">
        <v>41565737</v>
      </c>
      <c r="E293" s="0" t="n">
        <v>41565737</v>
      </c>
      <c r="F293" s="0" t="s">
        <v>40</v>
      </c>
      <c r="G293" s="0" t="s">
        <v>39</v>
      </c>
      <c r="H293" s="0" t="s">
        <v>1785</v>
      </c>
      <c r="I293" s="0" t="s">
        <v>187</v>
      </c>
      <c r="J293" s="0" t="s">
        <v>1786</v>
      </c>
      <c r="K293" s="0" t="s">
        <v>46</v>
      </c>
      <c r="L293" s="0" t="str">
        <f aca="false">HYPERLINK("https://www.ncbi.nlm.nih.gov/snp/rs777906944", "rs777906944")</f>
        <v>rs777906944</v>
      </c>
      <c r="M293" s="0" t="str">
        <f aca="false">HYPERLINK("https://www.genecards.org/Search/Keyword?queryString=%5Baliases%5D(%20EP300%20)&amp;keywords=EP300", "EP300")</f>
        <v>EP300</v>
      </c>
      <c r="N293" s="0" t="s">
        <v>306</v>
      </c>
      <c r="O293" s="0" t="s">
        <v>46</v>
      </c>
      <c r="P293" s="0" t="s">
        <v>46</v>
      </c>
      <c r="Q293" s="0" t="n">
        <v>0.002012</v>
      </c>
      <c r="R293" s="0" t="n">
        <v>-1</v>
      </c>
      <c r="S293" s="0" t="n">
        <v>-1</v>
      </c>
      <c r="T293" s="0" t="n">
        <v>-1</v>
      </c>
      <c r="U293" s="0" t="n">
        <v>-1</v>
      </c>
      <c r="V293" s="0" t="s">
        <v>46</v>
      </c>
      <c r="W293" s="0" t="s">
        <v>46</v>
      </c>
      <c r="X293" s="0" t="s">
        <v>47</v>
      </c>
      <c r="Y293" s="0" t="s">
        <v>48</v>
      </c>
      <c r="Z293" s="0" t="s">
        <v>46</v>
      </c>
      <c r="AA293" s="0" t="s">
        <v>46</v>
      </c>
      <c r="AB293" s="0" t="s">
        <v>46</v>
      </c>
      <c r="AC293" s="0" t="s">
        <v>50</v>
      </c>
      <c r="AD293" s="0" t="s">
        <v>210</v>
      </c>
      <c r="AE293" s="0" t="s">
        <v>1787</v>
      </c>
      <c r="AF293" s="0" t="s">
        <v>1788</v>
      </c>
      <c r="AG293" s="0" t="s">
        <v>1789</v>
      </c>
      <c r="AH293" s="0" t="s">
        <v>1790</v>
      </c>
      <c r="AI293" s="0" t="s">
        <v>46</v>
      </c>
      <c r="AJ293" s="0" t="s">
        <v>46</v>
      </c>
      <c r="AK293" s="0" t="s">
        <v>46</v>
      </c>
      <c r="AL293" s="0" t="s">
        <v>46</v>
      </c>
    </row>
    <row r="294" customFormat="false" ht="15" hidden="false" customHeight="false" outlineLevel="0" collapsed="false">
      <c r="B294" s="0" t="str">
        <f aca="false">HYPERLINK("https://genome.ucsc.edu/cgi-bin/hgTracks?db=hg19&amp;position=chr22%3A41575029%2D41575029", "chr22:41575029")</f>
        <v>chr22:41575029</v>
      </c>
      <c r="C294" s="0" t="s">
        <v>107</v>
      </c>
      <c r="D294" s="0" t="n">
        <v>41575029</v>
      </c>
      <c r="E294" s="0" t="n">
        <v>41575029</v>
      </c>
      <c r="F294" s="0" t="s">
        <v>57</v>
      </c>
      <c r="G294" s="0" t="s">
        <v>40</v>
      </c>
      <c r="H294" s="0" t="s">
        <v>1791</v>
      </c>
      <c r="I294" s="0" t="s">
        <v>1792</v>
      </c>
      <c r="J294" s="0" t="s">
        <v>1793</v>
      </c>
      <c r="K294" s="0" t="s">
        <v>46</v>
      </c>
      <c r="L294" s="0" t="s">
        <v>46</v>
      </c>
      <c r="M294" s="0" t="str">
        <f aca="false">HYPERLINK("https://www.genecards.org/Search/Keyword?queryString=%5Baliases%5D(%20EP300%20)&amp;keywords=EP300", "EP300")</f>
        <v>EP300</v>
      </c>
      <c r="N294" s="0" t="s">
        <v>208</v>
      </c>
      <c r="O294" s="0" t="s">
        <v>46</v>
      </c>
      <c r="P294" s="0" t="s">
        <v>1794</v>
      </c>
      <c r="Q294" s="0" t="n">
        <v>-1</v>
      </c>
      <c r="R294" s="0" t="n">
        <v>-1</v>
      </c>
      <c r="S294" s="0" t="n">
        <v>-1</v>
      </c>
      <c r="T294" s="0" t="n">
        <v>-1</v>
      </c>
      <c r="U294" s="0" t="n">
        <v>-1</v>
      </c>
      <c r="V294" s="0" t="s">
        <v>46</v>
      </c>
      <c r="W294" s="0" t="s">
        <v>46</v>
      </c>
      <c r="X294" s="0" t="s">
        <v>46</v>
      </c>
      <c r="Y294" s="0" t="s">
        <v>46</v>
      </c>
      <c r="Z294" s="0" t="s">
        <v>46</v>
      </c>
      <c r="AA294" s="0" t="s">
        <v>46</v>
      </c>
      <c r="AB294" s="0" t="s">
        <v>46</v>
      </c>
      <c r="AC294" s="0" t="s">
        <v>50</v>
      </c>
      <c r="AD294" s="0" t="s">
        <v>210</v>
      </c>
      <c r="AE294" s="0" t="s">
        <v>1787</v>
      </c>
      <c r="AF294" s="0" t="s">
        <v>1788</v>
      </c>
      <c r="AG294" s="0" t="s">
        <v>1789</v>
      </c>
      <c r="AH294" s="0" t="s">
        <v>1790</v>
      </c>
      <c r="AI294" s="0" t="s">
        <v>46</v>
      </c>
      <c r="AJ294" s="0" t="s">
        <v>46</v>
      </c>
      <c r="AK294" s="0" t="s">
        <v>46</v>
      </c>
      <c r="AL294" s="0" t="s">
        <v>46</v>
      </c>
    </row>
    <row r="295" customFormat="false" ht="15" hidden="false" customHeight="false" outlineLevel="0" collapsed="false">
      <c r="B295" s="0" t="str">
        <f aca="false">HYPERLINK("https://genome.ucsc.edu/cgi-bin/hgTracks?db=hg19&amp;position=chr22%3A41575884%2D41575894", "chr22:41575884")</f>
        <v>chr22:41575884</v>
      </c>
      <c r="C295" s="0" t="s">
        <v>107</v>
      </c>
      <c r="D295" s="0" t="n">
        <v>41575884</v>
      </c>
      <c r="E295" s="0" t="n">
        <v>41575894</v>
      </c>
      <c r="F295" s="0" t="s">
        <v>1795</v>
      </c>
      <c r="G295" s="0" t="s">
        <v>1796</v>
      </c>
      <c r="H295" s="0" t="s">
        <v>1797</v>
      </c>
      <c r="I295" s="0" t="s">
        <v>1066</v>
      </c>
      <c r="J295" s="0" t="s">
        <v>1798</v>
      </c>
      <c r="K295" s="0" t="s">
        <v>46</v>
      </c>
      <c r="L295" s="0" t="s">
        <v>46</v>
      </c>
      <c r="M295" s="0" t="str">
        <f aca="false">HYPERLINK("https://www.genecards.org/Search/Keyword?queryString=%5Baliases%5D(%20EP300%20)&amp;keywords=EP300", "EP300")</f>
        <v>EP300</v>
      </c>
      <c r="N295" s="0" t="s">
        <v>208</v>
      </c>
      <c r="O295" s="0" t="s">
        <v>46</v>
      </c>
      <c r="P295" s="0" t="s">
        <v>1799</v>
      </c>
      <c r="Q295" s="0" t="n">
        <v>-1</v>
      </c>
      <c r="R295" s="0" t="n">
        <v>-1</v>
      </c>
      <c r="S295" s="0" t="n">
        <v>-1</v>
      </c>
      <c r="T295" s="0" t="n">
        <v>-1</v>
      </c>
      <c r="U295" s="0" t="n">
        <v>-1</v>
      </c>
      <c r="V295" s="0" t="s">
        <v>46</v>
      </c>
      <c r="W295" s="0" t="s">
        <v>46</v>
      </c>
      <c r="X295" s="0" t="s">
        <v>46</v>
      </c>
      <c r="Y295" s="0" t="s">
        <v>46</v>
      </c>
      <c r="Z295" s="0" t="s">
        <v>46</v>
      </c>
      <c r="AA295" s="0" t="s">
        <v>46</v>
      </c>
      <c r="AB295" s="0" t="s">
        <v>46</v>
      </c>
      <c r="AC295" s="0" t="s">
        <v>254</v>
      </c>
      <c r="AD295" s="0" t="s">
        <v>210</v>
      </c>
      <c r="AE295" s="0" t="s">
        <v>1787</v>
      </c>
      <c r="AF295" s="0" t="s">
        <v>1788</v>
      </c>
      <c r="AG295" s="0" t="s">
        <v>1789</v>
      </c>
      <c r="AH295" s="0" t="s">
        <v>1790</v>
      </c>
      <c r="AI295" s="0" t="s">
        <v>46</v>
      </c>
      <c r="AJ295" s="0" t="s">
        <v>46</v>
      </c>
      <c r="AK295" s="0" t="s">
        <v>46</v>
      </c>
      <c r="AL295" s="0" t="s">
        <v>46</v>
      </c>
    </row>
    <row r="296" customFormat="false" ht="15" hidden="false" customHeight="false" outlineLevel="0" collapsed="false">
      <c r="B296" s="0" t="str">
        <f aca="false">HYPERLINK("https://genome.ucsc.edu/cgi-bin/hgTracks?db=hg19&amp;position=chr22%3A41575889%2D41575894", "chr22:41575889")</f>
        <v>chr22:41575889</v>
      </c>
      <c r="C296" s="0" t="s">
        <v>107</v>
      </c>
      <c r="D296" s="0" t="n">
        <v>41575889</v>
      </c>
      <c r="E296" s="0" t="n">
        <v>41575894</v>
      </c>
      <c r="F296" s="0" t="s">
        <v>1800</v>
      </c>
      <c r="G296" s="0" t="s">
        <v>185</v>
      </c>
      <c r="H296" s="0" t="s">
        <v>1797</v>
      </c>
      <c r="I296" s="0" t="s">
        <v>1066</v>
      </c>
      <c r="J296" s="0" t="s">
        <v>1798</v>
      </c>
      <c r="K296" s="0" t="s">
        <v>46</v>
      </c>
      <c r="L296" s="0" t="s">
        <v>46</v>
      </c>
      <c r="M296" s="0" t="str">
        <f aca="false">HYPERLINK("https://www.genecards.org/Search/Keyword?queryString=%5Baliases%5D(%20EP300%20)&amp;keywords=EP300", "EP300")</f>
        <v>EP300</v>
      </c>
      <c r="N296" s="0" t="s">
        <v>208</v>
      </c>
      <c r="O296" s="0" t="s">
        <v>46</v>
      </c>
      <c r="P296" s="0" t="s">
        <v>1801</v>
      </c>
      <c r="Q296" s="0" t="n">
        <v>-1</v>
      </c>
      <c r="R296" s="0" t="n">
        <v>-1</v>
      </c>
      <c r="S296" s="0" t="n">
        <v>-1</v>
      </c>
      <c r="T296" s="0" t="n">
        <v>-1</v>
      </c>
      <c r="U296" s="0" t="n">
        <v>-1</v>
      </c>
      <c r="V296" s="0" t="s">
        <v>46</v>
      </c>
      <c r="W296" s="0" t="s">
        <v>46</v>
      </c>
      <c r="X296" s="0" t="s">
        <v>46</v>
      </c>
      <c r="Y296" s="0" t="s">
        <v>46</v>
      </c>
      <c r="Z296" s="0" t="s">
        <v>46</v>
      </c>
      <c r="AA296" s="0" t="s">
        <v>46</v>
      </c>
      <c r="AB296" s="0" t="s">
        <v>46</v>
      </c>
      <c r="AC296" s="0" t="s">
        <v>254</v>
      </c>
      <c r="AD296" s="0" t="s">
        <v>210</v>
      </c>
      <c r="AE296" s="0" t="s">
        <v>1787</v>
      </c>
      <c r="AF296" s="0" t="s">
        <v>1788</v>
      </c>
      <c r="AG296" s="0" t="s">
        <v>1789</v>
      </c>
      <c r="AH296" s="0" t="s">
        <v>1790</v>
      </c>
      <c r="AI296" s="0" t="s">
        <v>46</v>
      </c>
      <c r="AJ296" s="0" t="s">
        <v>46</v>
      </c>
      <c r="AK296" s="0" t="s">
        <v>46</v>
      </c>
      <c r="AL296" s="0" t="s">
        <v>46</v>
      </c>
    </row>
    <row r="297" customFormat="false" ht="15" hidden="false" customHeight="false" outlineLevel="0" collapsed="false">
      <c r="B297" s="0" t="str">
        <f aca="false">HYPERLINK("https://genome.ucsc.edu/cgi-bin/hgTracks?db=hg19&amp;position=chr22%3A46189232%2D46189232", "chr22:46189232")</f>
        <v>chr22:46189232</v>
      </c>
      <c r="C297" s="0" t="s">
        <v>107</v>
      </c>
      <c r="D297" s="0" t="n">
        <v>46189232</v>
      </c>
      <c r="E297" s="0" t="n">
        <v>46189232</v>
      </c>
      <c r="F297" s="0" t="s">
        <v>39</v>
      </c>
      <c r="G297" s="0" t="s">
        <v>57</v>
      </c>
      <c r="H297" s="0" t="s">
        <v>1802</v>
      </c>
      <c r="I297" s="0" t="s">
        <v>560</v>
      </c>
      <c r="J297" s="0" t="s">
        <v>1803</v>
      </c>
      <c r="K297" s="0" t="s">
        <v>46</v>
      </c>
      <c r="L297" s="0" t="str">
        <f aca="false">HYPERLINK("https://www.ncbi.nlm.nih.gov/snp/rs145748335", "rs145748335")</f>
        <v>rs145748335</v>
      </c>
      <c r="M297" s="0" t="str">
        <f aca="false">HYPERLINK("https://www.genecards.org/Search/Keyword?queryString=%5Baliases%5D(%20ATXN10%20)&amp;keywords=ATXN10", "ATXN10")</f>
        <v>ATXN10</v>
      </c>
      <c r="N297" s="0" t="s">
        <v>704</v>
      </c>
      <c r="O297" s="0" t="s">
        <v>46</v>
      </c>
      <c r="P297" s="0" t="s">
        <v>46</v>
      </c>
      <c r="Q297" s="0" t="n">
        <v>0.0266</v>
      </c>
      <c r="R297" s="0" t="n">
        <v>0.0109</v>
      </c>
      <c r="S297" s="0" t="n">
        <v>0.0109</v>
      </c>
      <c r="T297" s="0" t="n">
        <v>-1</v>
      </c>
      <c r="U297" s="0" t="n">
        <v>0.0118</v>
      </c>
      <c r="V297" s="0" t="s">
        <v>46</v>
      </c>
      <c r="W297" s="0" t="s">
        <v>46</v>
      </c>
      <c r="X297" s="0" t="s">
        <v>46</v>
      </c>
      <c r="Y297" s="0" t="s">
        <v>46</v>
      </c>
      <c r="Z297" s="0" t="s">
        <v>46</v>
      </c>
      <c r="AA297" s="0" t="s">
        <v>46</v>
      </c>
      <c r="AB297" s="0" t="s">
        <v>46</v>
      </c>
      <c r="AC297" s="0" t="s">
        <v>50</v>
      </c>
      <c r="AD297" s="0" t="s">
        <v>51</v>
      </c>
      <c r="AE297" s="0" t="s">
        <v>1804</v>
      </c>
      <c r="AF297" s="0" t="s">
        <v>1805</v>
      </c>
      <c r="AG297" s="0" t="s">
        <v>1806</v>
      </c>
      <c r="AH297" s="0" t="s">
        <v>1807</v>
      </c>
      <c r="AI297" s="0" t="s">
        <v>46</v>
      </c>
      <c r="AJ297" s="0" t="s">
        <v>46</v>
      </c>
      <c r="AK297" s="0" t="s">
        <v>46</v>
      </c>
      <c r="AL297" s="0" t="s">
        <v>46</v>
      </c>
    </row>
    <row r="298" customFormat="false" ht="15" hidden="false" customHeight="false" outlineLevel="0" collapsed="false">
      <c r="B298" s="0" t="str">
        <f aca="false">HYPERLINK("https://genome.ucsc.edu/cgi-bin/hgTracks?db=hg19&amp;position=chr22%3A50487673%2D50487673", "chr22:50487673")</f>
        <v>chr22:50487673</v>
      </c>
      <c r="C298" s="0" t="s">
        <v>107</v>
      </c>
      <c r="D298" s="0" t="n">
        <v>50487673</v>
      </c>
      <c r="E298" s="0" t="n">
        <v>50487673</v>
      </c>
      <c r="F298" s="0" t="s">
        <v>40</v>
      </c>
      <c r="G298" s="0" t="s">
        <v>82</v>
      </c>
      <c r="H298" s="0" t="s">
        <v>1808</v>
      </c>
      <c r="I298" s="0" t="s">
        <v>154</v>
      </c>
      <c r="J298" s="0" t="s">
        <v>1809</v>
      </c>
      <c r="K298" s="0" t="s">
        <v>46</v>
      </c>
      <c r="L298" s="0" t="str">
        <f aca="false">HYPERLINK("https://www.ncbi.nlm.nih.gov/snp/rs777109669", "rs777109669")</f>
        <v>rs777109669</v>
      </c>
      <c r="M298" s="0" t="str">
        <f aca="false">HYPERLINK("https://www.genecards.org/Search/Keyword?queryString=%5Baliases%5D(%20TTLL8%20)&amp;keywords=TTLL8", "TTLL8")</f>
        <v>TTLL8</v>
      </c>
      <c r="N298" s="0" t="s">
        <v>1716</v>
      </c>
      <c r="O298" s="0" t="s">
        <v>46</v>
      </c>
      <c r="P298" s="0" t="s">
        <v>1810</v>
      </c>
      <c r="Q298" s="0" t="n">
        <v>0.0001</v>
      </c>
      <c r="R298" s="0" t="n">
        <v>0.0001</v>
      </c>
      <c r="S298" s="0" t="n">
        <v>-1</v>
      </c>
      <c r="T298" s="0" t="n">
        <v>-1</v>
      </c>
      <c r="U298" s="0" t="n">
        <v>-1</v>
      </c>
      <c r="V298" s="0" t="s">
        <v>46</v>
      </c>
      <c r="W298" s="0" t="s">
        <v>47</v>
      </c>
      <c r="X298" s="0" t="s">
        <v>47</v>
      </c>
      <c r="Y298" s="0" t="s">
        <v>200</v>
      </c>
      <c r="Z298" s="0" t="s">
        <v>46</v>
      </c>
      <c r="AA298" s="0" t="s">
        <v>46</v>
      </c>
      <c r="AB298" s="0" t="s">
        <v>46</v>
      </c>
      <c r="AC298" s="0" t="s">
        <v>50</v>
      </c>
      <c r="AD298" s="0" t="s">
        <v>51</v>
      </c>
      <c r="AE298" s="0" t="s">
        <v>46</v>
      </c>
      <c r="AF298" s="0" t="s">
        <v>1811</v>
      </c>
      <c r="AG298" s="0" t="s">
        <v>1812</v>
      </c>
      <c r="AH298" s="0" t="s">
        <v>46</v>
      </c>
      <c r="AI298" s="0" t="s">
        <v>46</v>
      </c>
      <c r="AJ298" s="0" t="s">
        <v>46</v>
      </c>
      <c r="AK298" s="0" t="s">
        <v>46</v>
      </c>
      <c r="AL298" s="0" t="s">
        <v>46</v>
      </c>
    </row>
    <row r="299" customFormat="false" ht="15" hidden="false" customHeight="false" outlineLevel="0" collapsed="false">
      <c r="B299" s="0" t="str">
        <f aca="false">HYPERLINK("https://genome.ucsc.edu/cgi-bin/hgTracks?db=hg19&amp;position=chr22%3A50631907%2D50631907", "chr22:50631907")</f>
        <v>chr22:50631907</v>
      </c>
      <c r="C299" s="0" t="s">
        <v>107</v>
      </c>
      <c r="D299" s="0" t="n">
        <v>50631907</v>
      </c>
      <c r="E299" s="0" t="n">
        <v>50631907</v>
      </c>
      <c r="F299" s="0" t="s">
        <v>39</v>
      </c>
      <c r="G299" s="0" t="s">
        <v>57</v>
      </c>
      <c r="H299" s="0" t="s">
        <v>1813</v>
      </c>
      <c r="I299" s="0" t="s">
        <v>1814</v>
      </c>
      <c r="J299" s="0" t="s">
        <v>1815</v>
      </c>
      <c r="K299" s="0" t="s">
        <v>46</v>
      </c>
      <c r="L299" s="0" t="str">
        <f aca="false">HYPERLINK("https://www.ncbi.nlm.nih.gov/snp/rs148680758", "rs148680758")</f>
        <v>rs148680758</v>
      </c>
      <c r="M299" s="0" t="str">
        <f aca="false">HYPERLINK("https://www.genecards.org/Search/Keyword?queryString=%5Baliases%5D(%20TRABD%20)&amp;keywords=TRABD", "TRABD")</f>
        <v>TRABD</v>
      </c>
      <c r="N299" s="0" t="s">
        <v>45</v>
      </c>
      <c r="O299" s="0" t="s">
        <v>46</v>
      </c>
      <c r="P299" s="0" t="s">
        <v>46</v>
      </c>
      <c r="Q299" s="0" t="n">
        <v>0.0253</v>
      </c>
      <c r="R299" s="0" t="n">
        <v>0.0172</v>
      </c>
      <c r="S299" s="0" t="n">
        <v>0.0193</v>
      </c>
      <c r="T299" s="0" t="n">
        <v>-1</v>
      </c>
      <c r="U299" s="0" t="n">
        <v>0.014</v>
      </c>
      <c r="V299" s="0" t="s">
        <v>46</v>
      </c>
      <c r="W299" s="0" t="s">
        <v>46</v>
      </c>
      <c r="X299" s="0" t="s">
        <v>354</v>
      </c>
      <c r="Y299" s="0" t="s">
        <v>48</v>
      </c>
      <c r="Z299" s="0" t="s">
        <v>46</v>
      </c>
      <c r="AA299" s="0" t="s">
        <v>46</v>
      </c>
      <c r="AB299" s="0" t="s">
        <v>46</v>
      </c>
      <c r="AC299" s="0" t="s">
        <v>50</v>
      </c>
      <c r="AD299" s="0" t="s">
        <v>51</v>
      </c>
      <c r="AE299" s="0" t="s">
        <v>1816</v>
      </c>
      <c r="AF299" s="0" t="s">
        <v>1817</v>
      </c>
      <c r="AG299" s="0" t="s">
        <v>46</v>
      </c>
      <c r="AH299" s="0" t="s">
        <v>46</v>
      </c>
      <c r="AI299" s="0" t="s">
        <v>46</v>
      </c>
      <c r="AJ299" s="0" t="s">
        <v>46</v>
      </c>
      <c r="AK299" s="0" t="s">
        <v>46</v>
      </c>
      <c r="AL299" s="0" t="s">
        <v>46</v>
      </c>
    </row>
    <row r="300" customFormat="false" ht="15" hidden="false" customHeight="false" outlineLevel="0" collapsed="false">
      <c r="B300" s="0" t="str">
        <f aca="false">HYPERLINK("https://genome.ucsc.edu/cgi-bin/hgTracks?db=hg19&amp;position=chr3%3A9991858%2D9991858", "chr3:9991858")</f>
        <v>chr3:9991858</v>
      </c>
      <c r="C300" s="0" t="s">
        <v>269</v>
      </c>
      <c r="D300" s="0" t="n">
        <v>9991858</v>
      </c>
      <c r="E300" s="0" t="n">
        <v>9991858</v>
      </c>
      <c r="F300" s="0" t="s">
        <v>185</v>
      </c>
      <c r="G300" s="0" t="s">
        <v>57</v>
      </c>
      <c r="H300" s="0" t="s">
        <v>1818</v>
      </c>
      <c r="I300" s="0" t="s">
        <v>1055</v>
      </c>
      <c r="J300" s="0" t="s">
        <v>1819</v>
      </c>
      <c r="K300" s="0" t="s">
        <v>46</v>
      </c>
      <c r="L300" s="0" t="s">
        <v>46</v>
      </c>
      <c r="M300" s="0" t="str">
        <f aca="false">HYPERLINK("https://www.genecards.org/Search/Keyword?queryString=%5Baliases%5D(%20PRRT3%20)&amp;keywords=PRRT3", "PRRT3")</f>
        <v>PRRT3</v>
      </c>
      <c r="N300" s="0" t="s">
        <v>602</v>
      </c>
      <c r="O300" s="0" t="s">
        <v>46</v>
      </c>
      <c r="P300" s="0" t="s">
        <v>1820</v>
      </c>
      <c r="Q300" s="0" t="n">
        <v>0.0053</v>
      </c>
      <c r="R300" s="0" t="n">
        <v>0.0046</v>
      </c>
      <c r="S300" s="0" t="n">
        <v>0.0063</v>
      </c>
      <c r="T300" s="0" t="n">
        <v>-1</v>
      </c>
      <c r="U300" s="0" t="n">
        <v>0.0111</v>
      </c>
      <c r="V300" s="0" t="s">
        <v>46</v>
      </c>
      <c r="W300" s="0" t="s">
        <v>46</v>
      </c>
      <c r="X300" s="0" t="s">
        <v>46</v>
      </c>
      <c r="Y300" s="0" t="s">
        <v>46</v>
      </c>
      <c r="Z300" s="0" t="s">
        <v>46</v>
      </c>
      <c r="AA300" s="0" t="s">
        <v>46</v>
      </c>
      <c r="AB300" s="0" t="s">
        <v>46</v>
      </c>
      <c r="AC300" s="0" t="s">
        <v>50</v>
      </c>
      <c r="AD300" s="0" t="s">
        <v>51</v>
      </c>
      <c r="AE300" s="0" t="s">
        <v>1821</v>
      </c>
      <c r="AF300" s="0" t="s">
        <v>1822</v>
      </c>
      <c r="AG300" s="0" t="s">
        <v>46</v>
      </c>
      <c r="AH300" s="0" t="s">
        <v>46</v>
      </c>
      <c r="AI300" s="0" t="s">
        <v>46</v>
      </c>
      <c r="AJ300" s="0" t="s">
        <v>46</v>
      </c>
      <c r="AK300" s="0" t="s">
        <v>46</v>
      </c>
      <c r="AL300" s="0" t="s">
        <v>46</v>
      </c>
    </row>
    <row r="301" customFormat="false" ht="15" hidden="false" customHeight="false" outlineLevel="0" collapsed="false">
      <c r="B301" s="0" t="str">
        <f aca="false">HYPERLINK("https://genome.ucsc.edu/cgi-bin/hgTracks?db=hg19&amp;position=chr3%3A46714743%2D46714743", "chr3:46714743")</f>
        <v>chr3:46714743</v>
      </c>
      <c r="C301" s="0" t="s">
        <v>269</v>
      </c>
      <c r="D301" s="0" t="n">
        <v>46714743</v>
      </c>
      <c r="E301" s="0" t="n">
        <v>46714743</v>
      </c>
      <c r="F301" s="0" t="s">
        <v>40</v>
      </c>
      <c r="G301" s="0" t="s">
        <v>82</v>
      </c>
      <c r="H301" s="0" t="s">
        <v>626</v>
      </c>
      <c r="I301" s="0" t="s">
        <v>872</v>
      </c>
      <c r="J301" s="0" t="s">
        <v>1823</v>
      </c>
      <c r="K301" s="0" t="s">
        <v>46</v>
      </c>
      <c r="L301" s="0" t="str">
        <f aca="false">HYPERLINK("https://www.ncbi.nlm.nih.gov/snp/rs140207621", "rs140207621")</f>
        <v>rs140207621</v>
      </c>
      <c r="M301" s="0" t="str">
        <f aca="false">HYPERLINK("https://www.genecards.org/Search/Keyword?queryString=%5Baliases%5D(%20ALS2CL%20)&amp;keywords=ALS2CL", "ALS2CL")</f>
        <v>ALS2CL</v>
      </c>
      <c r="N301" s="0" t="s">
        <v>45</v>
      </c>
      <c r="O301" s="0" t="s">
        <v>46</v>
      </c>
      <c r="P301" s="0" t="s">
        <v>46</v>
      </c>
      <c r="Q301" s="0" t="n">
        <v>0.0287567</v>
      </c>
      <c r="R301" s="0" t="n">
        <v>0.0247</v>
      </c>
      <c r="S301" s="0" t="n">
        <v>0.0243</v>
      </c>
      <c r="T301" s="0" t="n">
        <v>-1</v>
      </c>
      <c r="U301" s="0" t="n">
        <v>0.0241</v>
      </c>
      <c r="V301" s="0" t="s">
        <v>46</v>
      </c>
      <c r="W301" s="0" t="s">
        <v>46</v>
      </c>
      <c r="X301" s="0" t="s">
        <v>47</v>
      </c>
      <c r="Y301" s="0" t="s">
        <v>48</v>
      </c>
      <c r="Z301" s="0" t="s">
        <v>46</v>
      </c>
      <c r="AA301" s="0" t="s">
        <v>46</v>
      </c>
      <c r="AB301" s="0" t="s">
        <v>46</v>
      </c>
      <c r="AC301" s="0" t="s">
        <v>50</v>
      </c>
      <c r="AD301" s="0" t="s">
        <v>51</v>
      </c>
      <c r="AE301" s="0" t="s">
        <v>1824</v>
      </c>
      <c r="AF301" s="0" t="s">
        <v>1825</v>
      </c>
      <c r="AG301" s="0" t="s">
        <v>1826</v>
      </c>
      <c r="AH301" s="0" t="s">
        <v>46</v>
      </c>
      <c r="AI301" s="0" t="s">
        <v>46</v>
      </c>
      <c r="AJ301" s="0" t="s">
        <v>46</v>
      </c>
      <c r="AK301" s="0" t="s">
        <v>46</v>
      </c>
      <c r="AL301" s="0" t="s">
        <v>46</v>
      </c>
    </row>
    <row r="302" s="5" customFormat="true" ht="15" hidden="false" customHeight="false" outlineLevel="0" collapsed="false">
      <c r="B302" s="5" t="str">
        <f aca="false">HYPERLINK("https://genome.ucsc.edu/cgi-bin/hgTracks?db=hg19&amp;position=chr3%3A48506214%2D48506214", "chr3:48506214")</f>
        <v>chr3:48506214</v>
      </c>
      <c r="C302" s="5" t="s">
        <v>269</v>
      </c>
      <c r="D302" s="5" t="n">
        <v>48506214</v>
      </c>
      <c r="E302" s="5" t="n">
        <v>48506214</v>
      </c>
      <c r="F302" s="5" t="s">
        <v>185</v>
      </c>
      <c r="G302" s="5" t="s">
        <v>40</v>
      </c>
      <c r="H302" s="5" t="s">
        <v>1827</v>
      </c>
      <c r="I302" s="5" t="s">
        <v>847</v>
      </c>
      <c r="J302" s="5" t="s">
        <v>1828</v>
      </c>
      <c r="K302" s="5" t="s">
        <v>46</v>
      </c>
      <c r="L302" s="5" t="str">
        <f aca="false">HYPERLINK("https://www.ncbi.nlm.nih.gov/snp/rs201468664", "rs201468664")</f>
        <v>rs201468664</v>
      </c>
      <c r="M302" s="5" t="str">
        <f aca="false">HYPERLINK("https://www.genecards.org/Search/Keyword?queryString=%5Baliases%5D(%20ATRIP%20)%20OR%20%5Baliases%5D(%20ATRIP-TREX1%20)%20OR%20%5Baliases%5D(%20TREX1%20)&amp;keywords=ATRIP,ATRIP-TREX1,TREX1", "ATRIP;ATRIP-TREX1;TREX1")</f>
        <v>ATRIP;ATRIP-TREX1;TREX1</v>
      </c>
      <c r="N302" s="5" t="s">
        <v>306</v>
      </c>
      <c r="O302" s="5" t="s">
        <v>46</v>
      </c>
      <c r="P302" s="5" t="s">
        <v>46</v>
      </c>
      <c r="Q302" s="5" t="n">
        <v>0.0037</v>
      </c>
      <c r="R302" s="5" t="n">
        <v>0.002</v>
      </c>
      <c r="S302" s="5" t="n">
        <v>0.0016</v>
      </c>
      <c r="T302" s="5" t="n">
        <v>-1</v>
      </c>
      <c r="U302" s="5" t="n">
        <v>0.0016</v>
      </c>
      <c r="V302" s="5" t="s">
        <v>46</v>
      </c>
      <c r="W302" s="5" t="s">
        <v>46</v>
      </c>
      <c r="X302" s="5" t="s">
        <v>46</v>
      </c>
      <c r="Y302" s="5" t="s">
        <v>46</v>
      </c>
      <c r="Z302" s="5" t="s">
        <v>46</v>
      </c>
      <c r="AA302" s="5" t="s">
        <v>46</v>
      </c>
      <c r="AB302" s="5" t="s">
        <v>46</v>
      </c>
      <c r="AC302" s="5" t="s">
        <v>50</v>
      </c>
      <c r="AD302" s="5" t="s">
        <v>470</v>
      </c>
      <c r="AE302" s="5" t="s">
        <v>471</v>
      </c>
      <c r="AF302" s="5" t="s">
        <v>472</v>
      </c>
      <c r="AG302" s="5" t="s">
        <v>473</v>
      </c>
      <c r="AH302" s="5" t="s">
        <v>474</v>
      </c>
      <c r="AI302" s="5" t="s">
        <v>46</v>
      </c>
      <c r="AJ302" s="5" t="s">
        <v>46</v>
      </c>
      <c r="AK302" s="5" t="s">
        <v>46</v>
      </c>
      <c r="AL302" s="5" t="s">
        <v>46</v>
      </c>
    </row>
    <row r="303" s="5" customFormat="true" ht="15" hidden="false" customHeight="false" outlineLevel="0" collapsed="false">
      <c r="B303" s="5" t="str">
        <f aca="false">HYPERLINK("https://genome.ucsc.edu/cgi-bin/hgTracks?db=hg19&amp;position=chr3%3A48507846%2D48507846", "chr3:48507846")</f>
        <v>chr3:48507846</v>
      </c>
      <c r="C303" s="5" t="s">
        <v>269</v>
      </c>
      <c r="D303" s="5" t="n">
        <v>48507846</v>
      </c>
      <c r="E303" s="5" t="n">
        <v>48507846</v>
      </c>
      <c r="F303" s="5" t="s">
        <v>40</v>
      </c>
      <c r="G303" s="5" t="s">
        <v>39</v>
      </c>
      <c r="H303" s="5" t="s">
        <v>1829</v>
      </c>
      <c r="I303" s="5" t="s">
        <v>589</v>
      </c>
      <c r="J303" s="5" t="s">
        <v>1830</v>
      </c>
      <c r="K303" s="5" t="s">
        <v>46</v>
      </c>
      <c r="L303" s="5" t="str">
        <f aca="false">HYPERLINK("https://www.ncbi.nlm.nih.gov/snp/rs140593977", "rs140593977")</f>
        <v>rs140593977</v>
      </c>
      <c r="M303" s="5" t="str">
        <f aca="false">HYPERLINK("https://www.genecards.org/Search/Keyword?queryString=%5Baliases%5D(%20ATRIP%20)%20OR%20%5Baliases%5D(%20ATRIP-TREX1%20)%20OR%20%5Baliases%5D(%20TREX1%20)&amp;keywords=ATRIP,ATRIP-TREX1,TREX1", "ATRIP;ATRIP-TREX1;TREX1")</f>
        <v>ATRIP;ATRIP-TREX1;TREX1</v>
      </c>
      <c r="N303" s="5" t="s">
        <v>1831</v>
      </c>
      <c r="O303" s="5" t="s">
        <v>46</v>
      </c>
      <c r="P303" s="5" t="s">
        <v>1832</v>
      </c>
      <c r="Q303" s="5" t="n">
        <v>0.0035</v>
      </c>
      <c r="R303" s="5" t="n">
        <v>0.0025</v>
      </c>
      <c r="S303" s="5" t="n">
        <v>0.0018</v>
      </c>
      <c r="T303" s="5" t="n">
        <v>-1</v>
      </c>
      <c r="U303" s="5" t="n">
        <v>0.0015</v>
      </c>
      <c r="V303" s="5" t="s">
        <v>46</v>
      </c>
      <c r="W303" s="5" t="s">
        <v>46</v>
      </c>
      <c r="X303" s="5" t="s">
        <v>46</v>
      </c>
      <c r="Y303" s="5" t="s">
        <v>46</v>
      </c>
      <c r="Z303" s="5" t="s">
        <v>46</v>
      </c>
      <c r="AA303" s="5" t="s">
        <v>46</v>
      </c>
      <c r="AB303" s="5" t="s">
        <v>46</v>
      </c>
      <c r="AC303" s="5" t="s">
        <v>50</v>
      </c>
      <c r="AD303" s="5" t="s">
        <v>470</v>
      </c>
      <c r="AE303" s="5" t="s">
        <v>471</v>
      </c>
      <c r="AF303" s="5" t="s">
        <v>472</v>
      </c>
      <c r="AG303" s="5" t="s">
        <v>473</v>
      </c>
      <c r="AH303" s="5" t="s">
        <v>474</v>
      </c>
      <c r="AI303" s="5" t="s">
        <v>46</v>
      </c>
      <c r="AJ303" s="5" t="s">
        <v>46</v>
      </c>
      <c r="AK303" s="5" t="s">
        <v>46</v>
      </c>
      <c r="AL303" s="5" t="s">
        <v>46</v>
      </c>
    </row>
    <row r="304" customFormat="false" ht="15" hidden="false" customHeight="false" outlineLevel="0" collapsed="false">
      <c r="B304" s="0" t="str">
        <f aca="false">HYPERLINK("https://genome.ucsc.edu/cgi-bin/hgTracks?db=hg19&amp;position=chr3%3A50098995%2D50098995", "chr3:50098995")</f>
        <v>chr3:50098995</v>
      </c>
      <c r="C304" s="0" t="s">
        <v>269</v>
      </c>
      <c r="D304" s="0" t="n">
        <v>50098995</v>
      </c>
      <c r="E304" s="0" t="n">
        <v>50098995</v>
      </c>
      <c r="F304" s="0" t="s">
        <v>185</v>
      </c>
      <c r="G304" s="0" t="s">
        <v>82</v>
      </c>
      <c r="H304" s="0" t="s">
        <v>1833</v>
      </c>
      <c r="I304" s="0" t="s">
        <v>872</v>
      </c>
      <c r="J304" s="0" t="s">
        <v>1834</v>
      </c>
      <c r="K304" s="0" t="s">
        <v>46</v>
      </c>
      <c r="L304" s="0" t="s">
        <v>46</v>
      </c>
      <c r="M304" s="0" t="str">
        <f aca="false">HYPERLINK("https://www.genecards.org/Search/Keyword?queryString=%5Baliases%5D(%20RBM6%20)&amp;keywords=RBM6", "RBM6")</f>
        <v>RBM6</v>
      </c>
      <c r="N304" s="0" t="s">
        <v>280</v>
      </c>
      <c r="O304" s="0" t="s">
        <v>273</v>
      </c>
      <c r="P304" s="0" t="s">
        <v>1835</v>
      </c>
      <c r="Q304" s="0" t="n">
        <v>-1</v>
      </c>
      <c r="R304" s="0" t="n">
        <v>-1</v>
      </c>
      <c r="S304" s="0" t="n">
        <v>-1</v>
      </c>
      <c r="T304" s="0" t="n">
        <v>-1</v>
      </c>
      <c r="U304" s="0" t="n">
        <v>-1</v>
      </c>
      <c r="V304" s="0" t="s">
        <v>46</v>
      </c>
      <c r="W304" s="0" t="s">
        <v>46</v>
      </c>
      <c r="X304" s="0" t="s">
        <v>46</v>
      </c>
      <c r="Y304" s="0" t="s">
        <v>46</v>
      </c>
      <c r="Z304" s="0" t="s">
        <v>46</v>
      </c>
      <c r="AA304" s="0" t="s">
        <v>46</v>
      </c>
      <c r="AB304" s="0" t="s">
        <v>46</v>
      </c>
      <c r="AC304" s="0" t="s">
        <v>254</v>
      </c>
      <c r="AD304" s="0" t="s">
        <v>51</v>
      </c>
      <c r="AE304" s="0" t="s">
        <v>1836</v>
      </c>
      <c r="AF304" s="0" t="s">
        <v>1837</v>
      </c>
      <c r="AG304" s="0" t="s">
        <v>1838</v>
      </c>
      <c r="AH304" s="0" t="s">
        <v>46</v>
      </c>
      <c r="AI304" s="0" t="s">
        <v>46</v>
      </c>
      <c r="AJ304" s="0" t="s">
        <v>46</v>
      </c>
      <c r="AK304" s="0" t="s">
        <v>46</v>
      </c>
      <c r="AL304" s="0" t="s">
        <v>46</v>
      </c>
    </row>
    <row r="305" customFormat="false" ht="15" hidden="false" customHeight="false" outlineLevel="0" collapsed="false">
      <c r="B305" s="0" t="str">
        <f aca="false">HYPERLINK("https://genome.ucsc.edu/cgi-bin/hgTracks?db=hg19&amp;position=chr3%3A58923526%2D58923526", "chr3:58923526")</f>
        <v>chr3:58923526</v>
      </c>
      <c r="C305" s="0" t="s">
        <v>269</v>
      </c>
      <c r="D305" s="0" t="n">
        <v>58923526</v>
      </c>
      <c r="E305" s="0" t="n">
        <v>58923526</v>
      </c>
      <c r="F305" s="0" t="s">
        <v>82</v>
      </c>
      <c r="G305" s="0" t="s">
        <v>57</v>
      </c>
      <c r="H305" s="0" t="s">
        <v>1839</v>
      </c>
      <c r="I305" s="0" t="s">
        <v>1389</v>
      </c>
      <c r="J305" s="0" t="s">
        <v>1840</v>
      </c>
      <c r="K305" s="0" t="s">
        <v>46</v>
      </c>
      <c r="L305" s="0" t="str">
        <f aca="false">HYPERLINK("https://www.ncbi.nlm.nih.gov/snp/rs145528529", "rs145528529")</f>
        <v>rs145528529</v>
      </c>
      <c r="M305" s="0" t="str">
        <f aca="false">HYPERLINK("https://www.genecards.org/Search/Keyword?queryString=%5Baliases%5D(%20AK090895%20)%20OR%20%5Baliases%5D(%20C3orf67-AS1%20)&amp;keywords=AK090895,C3orf67-AS1", "AK090895;C3orf67-AS1")</f>
        <v>AK090895;C3orf67-AS1</v>
      </c>
      <c r="N305" s="0" t="s">
        <v>1841</v>
      </c>
      <c r="O305" s="0" t="s">
        <v>46</v>
      </c>
      <c r="P305" s="0" t="s">
        <v>46</v>
      </c>
      <c r="Q305" s="0" t="n">
        <v>0.0104</v>
      </c>
      <c r="R305" s="0" t="n">
        <v>0.0026</v>
      </c>
      <c r="S305" s="0" t="n">
        <v>0.0028</v>
      </c>
      <c r="T305" s="0" t="n">
        <v>-1</v>
      </c>
      <c r="U305" s="0" t="n">
        <v>0.0025</v>
      </c>
      <c r="V305" s="0" t="s">
        <v>46</v>
      </c>
      <c r="W305" s="0" t="s">
        <v>46</v>
      </c>
      <c r="X305" s="0" t="s">
        <v>354</v>
      </c>
      <c r="Y305" s="0" t="s">
        <v>48</v>
      </c>
      <c r="Z305" s="0" t="s">
        <v>46</v>
      </c>
      <c r="AA305" s="0" t="s">
        <v>46</v>
      </c>
      <c r="AB305" s="0" t="s">
        <v>46</v>
      </c>
      <c r="AC305" s="0" t="s">
        <v>50</v>
      </c>
      <c r="AD305" s="0" t="s">
        <v>191</v>
      </c>
      <c r="AE305" s="0" t="s">
        <v>46</v>
      </c>
      <c r="AF305" s="0" t="s">
        <v>1842</v>
      </c>
      <c r="AG305" s="0" t="s">
        <v>46</v>
      </c>
      <c r="AH305" s="0" t="s">
        <v>46</v>
      </c>
      <c r="AI305" s="0" t="s">
        <v>46</v>
      </c>
      <c r="AJ305" s="0" t="s">
        <v>46</v>
      </c>
      <c r="AK305" s="0" t="s">
        <v>46</v>
      </c>
      <c r="AL305" s="0" t="s">
        <v>46</v>
      </c>
    </row>
    <row r="306" customFormat="false" ht="15" hidden="false" customHeight="false" outlineLevel="0" collapsed="false">
      <c r="B306" s="0" t="str">
        <f aca="false">HYPERLINK("https://genome.ucsc.edu/cgi-bin/hgTracks?db=hg19&amp;position=chr3%3A101284008%2D101284008", "chr3:101284008")</f>
        <v>chr3:101284008</v>
      </c>
      <c r="C306" s="0" t="s">
        <v>269</v>
      </c>
      <c r="D306" s="0" t="n">
        <v>101284008</v>
      </c>
      <c r="E306" s="0" t="n">
        <v>101284008</v>
      </c>
      <c r="F306" s="0" t="s">
        <v>185</v>
      </c>
      <c r="G306" s="0" t="s">
        <v>57</v>
      </c>
      <c r="H306" s="0" t="s">
        <v>1017</v>
      </c>
      <c r="I306" s="0" t="s">
        <v>1066</v>
      </c>
      <c r="J306" s="0" t="s">
        <v>1843</v>
      </c>
      <c r="K306" s="0" t="s">
        <v>46</v>
      </c>
      <c r="L306" s="0" t="str">
        <f aca="false">HYPERLINK("https://www.ncbi.nlm.nih.gov/snp/rs764261443", "rs764261443")</f>
        <v>rs764261443</v>
      </c>
      <c r="M306" s="0" t="str">
        <f aca="false">HYPERLINK("https://www.genecards.org/Search/Keyword?queryString=%5Baliases%5D(%20TRMT10C%20)&amp;keywords=TRMT10C", "TRMT10C")</f>
        <v>TRMT10C</v>
      </c>
      <c r="N306" s="0" t="s">
        <v>62</v>
      </c>
      <c r="O306" s="0" t="s">
        <v>273</v>
      </c>
      <c r="P306" s="0" t="s">
        <v>1844</v>
      </c>
      <c r="Q306" s="0" t="n">
        <v>0.0258</v>
      </c>
      <c r="R306" s="0" t="n">
        <v>0.0008</v>
      </c>
      <c r="S306" s="0" t="n">
        <v>0.001</v>
      </c>
      <c r="T306" s="0" t="n">
        <v>-1</v>
      </c>
      <c r="U306" s="0" t="n">
        <v>0.0019</v>
      </c>
      <c r="V306" s="0" t="s">
        <v>46</v>
      </c>
      <c r="W306" s="0" t="s">
        <v>46</v>
      </c>
      <c r="X306" s="0" t="s">
        <v>46</v>
      </c>
      <c r="Y306" s="0" t="s">
        <v>46</v>
      </c>
      <c r="Z306" s="0" t="s">
        <v>46</v>
      </c>
      <c r="AA306" s="0" t="s">
        <v>46</v>
      </c>
      <c r="AB306" s="0" t="s">
        <v>46</v>
      </c>
      <c r="AC306" s="0" t="s">
        <v>50</v>
      </c>
      <c r="AD306" s="0" t="s">
        <v>51</v>
      </c>
      <c r="AE306" s="0" t="s">
        <v>1845</v>
      </c>
      <c r="AF306" s="0" t="s">
        <v>1846</v>
      </c>
      <c r="AG306" s="0" t="s">
        <v>1847</v>
      </c>
      <c r="AH306" s="0" t="s">
        <v>46</v>
      </c>
      <c r="AI306" s="0" t="s">
        <v>46</v>
      </c>
      <c r="AJ306" s="0" t="s">
        <v>46</v>
      </c>
      <c r="AK306" s="0" t="s">
        <v>46</v>
      </c>
      <c r="AL306" s="0" t="s">
        <v>46</v>
      </c>
    </row>
    <row r="307" customFormat="false" ht="15" hidden="false" customHeight="false" outlineLevel="0" collapsed="false">
      <c r="B307" s="0" t="str">
        <f aca="false">HYPERLINK("https://genome.ucsc.edu/cgi-bin/hgTracks?db=hg19&amp;position=chr3%3A112329033%2D112329033", "chr3:112329033")</f>
        <v>chr3:112329033</v>
      </c>
      <c r="C307" s="0" t="s">
        <v>269</v>
      </c>
      <c r="D307" s="0" t="n">
        <v>112329033</v>
      </c>
      <c r="E307" s="0" t="n">
        <v>112329033</v>
      </c>
      <c r="F307" s="0" t="s">
        <v>185</v>
      </c>
      <c r="G307" s="0" t="s">
        <v>57</v>
      </c>
      <c r="H307" s="0" t="s">
        <v>1848</v>
      </c>
      <c r="I307" s="0" t="s">
        <v>360</v>
      </c>
      <c r="J307" s="0" t="s">
        <v>1849</v>
      </c>
      <c r="K307" s="0" t="s">
        <v>46</v>
      </c>
      <c r="L307" s="0" t="str">
        <f aca="false">HYPERLINK("https://www.ncbi.nlm.nih.gov/snp/rs764868321", "rs764868321")</f>
        <v>rs764868321</v>
      </c>
      <c r="M307" s="0" t="str">
        <f aca="false">HYPERLINK("https://www.genecards.org/Search/Keyword?queryString=%5Baliases%5D(%20CCDC80%20)&amp;keywords=CCDC80", "CCDC80")</f>
        <v>CCDC80</v>
      </c>
      <c r="N307" s="0" t="s">
        <v>280</v>
      </c>
      <c r="O307" s="0" t="s">
        <v>273</v>
      </c>
      <c r="P307" s="0" t="s">
        <v>1850</v>
      </c>
      <c r="Q307" s="0" t="n">
        <v>0.0132</v>
      </c>
      <c r="R307" s="0" t="n">
        <v>0.0095</v>
      </c>
      <c r="S307" s="0" t="n">
        <v>0.0024</v>
      </c>
      <c r="T307" s="0" t="n">
        <v>-1</v>
      </c>
      <c r="U307" s="0" t="n">
        <v>0.0085</v>
      </c>
      <c r="V307" s="0" t="s">
        <v>46</v>
      </c>
      <c r="W307" s="0" t="s">
        <v>46</v>
      </c>
      <c r="X307" s="0" t="s">
        <v>46</v>
      </c>
      <c r="Y307" s="0" t="s">
        <v>46</v>
      </c>
      <c r="Z307" s="0" t="s">
        <v>46</v>
      </c>
      <c r="AA307" s="0" t="s">
        <v>46</v>
      </c>
      <c r="AB307" s="0" t="s">
        <v>46</v>
      </c>
      <c r="AC307" s="0" t="s">
        <v>50</v>
      </c>
      <c r="AD307" s="0" t="s">
        <v>51</v>
      </c>
      <c r="AE307" s="0" t="s">
        <v>1851</v>
      </c>
      <c r="AF307" s="0" t="s">
        <v>1852</v>
      </c>
      <c r="AG307" s="0" t="s">
        <v>1853</v>
      </c>
      <c r="AH307" s="0" t="s">
        <v>46</v>
      </c>
      <c r="AI307" s="0" t="s">
        <v>46</v>
      </c>
      <c r="AJ307" s="0" t="s">
        <v>46</v>
      </c>
      <c r="AK307" s="0" t="s">
        <v>46</v>
      </c>
      <c r="AL307" s="0" t="s">
        <v>46</v>
      </c>
    </row>
    <row r="308" customFormat="false" ht="15" hidden="false" customHeight="false" outlineLevel="0" collapsed="false">
      <c r="B308" s="0" t="str">
        <f aca="false">HYPERLINK("https://genome.ucsc.edu/cgi-bin/hgTracks?db=hg19&amp;position=chr3%3A122172647%2D122172647", "chr3:122172647")</f>
        <v>chr3:122172647</v>
      </c>
      <c r="C308" s="0" t="s">
        <v>269</v>
      </c>
      <c r="D308" s="0" t="n">
        <v>122172647</v>
      </c>
      <c r="E308" s="0" t="n">
        <v>122172647</v>
      </c>
      <c r="F308" s="0" t="s">
        <v>39</v>
      </c>
      <c r="G308" s="0" t="s">
        <v>40</v>
      </c>
      <c r="H308" s="0" t="s">
        <v>1854</v>
      </c>
      <c r="I308" s="0" t="s">
        <v>656</v>
      </c>
      <c r="J308" s="0" t="s">
        <v>1855</v>
      </c>
      <c r="K308" s="0" t="s">
        <v>46</v>
      </c>
      <c r="L308" s="0" t="str">
        <f aca="false">HYPERLINK("https://www.ncbi.nlm.nih.gov/snp/rs149742063", "rs149742063")</f>
        <v>rs149742063</v>
      </c>
      <c r="M308" s="0" t="str">
        <f aca="false">HYPERLINK("https://www.genecards.org/Search/Keyword?queryString=%5Baliases%5D(%20KPNA1%20)&amp;keywords=KPNA1", "KPNA1")</f>
        <v>KPNA1</v>
      </c>
      <c r="N308" s="0" t="s">
        <v>45</v>
      </c>
      <c r="O308" s="0" t="s">
        <v>46</v>
      </c>
      <c r="P308" s="0" t="s">
        <v>46</v>
      </c>
      <c r="Q308" s="0" t="n">
        <v>0.008</v>
      </c>
      <c r="R308" s="0" t="n">
        <v>0.0075</v>
      </c>
      <c r="S308" s="0" t="n">
        <v>0.0065</v>
      </c>
      <c r="T308" s="0" t="n">
        <v>-1</v>
      </c>
      <c r="U308" s="0" t="n">
        <v>0.0074</v>
      </c>
      <c r="V308" s="0" t="s">
        <v>46</v>
      </c>
      <c r="W308" s="0" t="s">
        <v>46</v>
      </c>
      <c r="X308" s="0" t="s">
        <v>354</v>
      </c>
      <c r="Y308" s="0" t="s">
        <v>48</v>
      </c>
      <c r="Z308" s="0" t="s">
        <v>46</v>
      </c>
      <c r="AA308" s="0" t="s">
        <v>46</v>
      </c>
      <c r="AB308" s="0" t="s">
        <v>46</v>
      </c>
      <c r="AC308" s="0" t="s">
        <v>50</v>
      </c>
      <c r="AD308" s="0" t="s">
        <v>51</v>
      </c>
      <c r="AE308" s="0" t="s">
        <v>1856</v>
      </c>
      <c r="AF308" s="0" t="s">
        <v>1857</v>
      </c>
      <c r="AG308" s="0" t="s">
        <v>1858</v>
      </c>
      <c r="AH308" s="0" t="s">
        <v>46</v>
      </c>
      <c r="AI308" s="0" t="s">
        <v>46</v>
      </c>
      <c r="AJ308" s="0" t="s">
        <v>46</v>
      </c>
      <c r="AK308" s="0" t="s">
        <v>46</v>
      </c>
      <c r="AL308" s="0" t="s">
        <v>46</v>
      </c>
    </row>
    <row r="309" customFormat="false" ht="15" hidden="false" customHeight="false" outlineLevel="0" collapsed="false">
      <c r="B309" s="0" t="str">
        <f aca="false">HYPERLINK("https://genome.ucsc.edu/cgi-bin/hgTracks?db=hg19&amp;position=chr3%3A134959902%2D134959902", "chr3:134959902")</f>
        <v>chr3:134959902</v>
      </c>
      <c r="C309" s="0" t="s">
        <v>269</v>
      </c>
      <c r="D309" s="0" t="n">
        <v>134959902</v>
      </c>
      <c r="E309" s="0" t="n">
        <v>134959902</v>
      </c>
      <c r="F309" s="0" t="s">
        <v>82</v>
      </c>
      <c r="G309" s="0" t="s">
        <v>39</v>
      </c>
      <c r="H309" s="0" t="s">
        <v>1859</v>
      </c>
      <c r="I309" s="0" t="s">
        <v>1860</v>
      </c>
      <c r="J309" s="0" t="s">
        <v>1861</v>
      </c>
      <c r="K309" s="0" t="s">
        <v>46</v>
      </c>
      <c r="L309" s="0" t="str">
        <f aca="false">HYPERLINK("https://www.ncbi.nlm.nih.gov/snp/rs116052381", "rs116052381")</f>
        <v>rs116052381</v>
      </c>
      <c r="M309" s="0" t="str">
        <f aca="false">HYPERLINK("https://www.genecards.org/Search/Keyword?queryString=%5Baliases%5D(%20EPHB1%20)&amp;keywords=EPHB1", "EPHB1")</f>
        <v>EPHB1</v>
      </c>
      <c r="N309" s="0" t="s">
        <v>45</v>
      </c>
      <c r="O309" s="0" t="s">
        <v>46</v>
      </c>
      <c r="P309" s="0" t="s">
        <v>46</v>
      </c>
      <c r="Q309" s="0" t="n">
        <v>0.0147</v>
      </c>
      <c r="R309" s="0" t="n">
        <v>0.009</v>
      </c>
      <c r="S309" s="0" t="n">
        <v>0.0092</v>
      </c>
      <c r="T309" s="0" t="n">
        <v>-1</v>
      </c>
      <c r="U309" s="0" t="n">
        <v>0.0087</v>
      </c>
      <c r="V309" s="0" t="s">
        <v>46</v>
      </c>
      <c r="W309" s="0" t="s">
        <v>46</v>
      </c>
      <c r="X309" s="0" t="s">
        <v>47</v>
      </c>
      <c r="Y309" s="0" t="s">
        <v>48</v>
      </c>
      <c r="Z309" s="0" t="s">
        <v>46</v>
      </c>
      <c r="AA309" s="0" t="s">
        <v>46</v>
      </c>
      <c r="AB309" s="0" t="s">
        <v>46</v>
      </c>
      <c r="AC309" s="0" t="s">
        <v>50</v>
      </c>
      <c r="AD309" s="0" t="s">
        <v>51</v>
      </c>
      <c r="AE309" s="0" t="s">
        <v>1862</v>
      </c>
      <c r="AF309" s="0" t="s">
        <v>1863</v>
      </c>
      <c r="AG309" s="0" t="s">
        <v>1864</v>
      </c>
      <c r="AH309" s="0" t="s">
        <v>46</v>
      </c>
      <c r="AI309" s="0" t="s">
        <v>46</v>
      </c>
      <c r="AJ309" s="0" t="s">
        <v>46</v>
      </c>
      <c r="AK309" s="0" t="s">
        <v>46</v>
      </c>
      <c r="AL309" s="0" t="s">
        <v>46</v>
      </c>
    </row>
    <row r="310" customFormat="false" ht="15" hidden="false" customHeight="false" outlineLevel="0" collapsed="false">
      <c r="B310" s="0" t="str">
        <f aca="false">HYPERLINK("https://genome.ucsc.edu/cgi-bin/hgTracks?db=hg19&amp;position=chr3%3A141923491%2D141923491", "chr3:141923491")</f>
        <v>chr3:141923491</v>
      </c>
      <c r="C310" s="0" t="s">
        <v>269</v>
      </c>
      <c r="D310" s="0" t="n">
        <v>141923491</v>
      </c>
      <c r="E310" s="0" t="n">
        <v>141923491</v>
      </c>
      <c r="F310" s="0" t="s">
        <v>185</v>
      </c>
      <c r="G310" s="0" t="s">
        <v>57</v>
      </c>
      <c r="H310" s="0" t="s">
        <v>1865</v>
      </c>
      <c r="I310" s="0" t="s">
        <v>595</v>
      </c>
      <c r="J310" s="0" t="s">
        <v>1866</v>
      </c>
      <c r="K310" s="0" t="s">
        <v>46</v>
      </c>
      <c r="L310" s="0" t="str">
        <f aca="false">HYPERLINK("https://www.ncbi.nlm.nih.gov/snp/rs200595097", "rs200595097")</f>
        <v>rs200595097</v>
      </c>
      <c r="M310" s="0" t="str">
        <f aca="false">HYPERLINK("https://www.genecards.org/Search/Keyword?queryString=%5Baliases%5D(%20GK5%20)&amp;keywords=GK5", "GK5")</f>
        <v>GK5</v>
      </c>
      <c r="N310" s="0" t="s">
        <v>280</v>
      </c>
      <c r="O310" s="0" t="s">
        <v>273</v>
      </c>
      <c r="P310" s="0" t="s">
        <v>1867</v>
      </c>
      <c r="Q310" s="0" t="n">
        <v>0.0276</v>
      </c>
      <c r="R310" s="0" t="n">
        <v>0.0064</v>
      </c>
      <c r="S310" s="0" t="n">
        <v>0.0079</v>
      </c>
      <c r="T310" s="0" t="n">
        <v>-1</v>
      </c>
      <c r="U310" s="0" t="n">
        <v>0.0081</v>
      </c>
      <c r="V310" s="0" t="s">
        <v>46</v>
      </c>
      <c r="W310" s="0" t="s">
        <v>46</v>
      </c>
      <c r="X310" s="0" t="s">
        <v>46</v>
      </c>
      <c r="Y310" s="0" t="s">
        <v>46</v>
      </c>
      <c r="Z310" s="0" t="s">
        <v>46</v>
      </c>
      <c r="AA310" s="0" t="s">
        <v>46</v>
      </c>
      <c r="AB310" s="0" t="s">
        <v>46</v>
      </c>
      <c r="AC310" s="0" t="s">
        <v>50</v>
      </c>
      <c r="AD310" s="0" t="s">
        <v>51</v>
      </c>
      <c r="AE310" s="0" t="s">
        <v>1868</v>
      </c>
      <c r="AF310" s="0" t="s">
        <v>1869</v>
      </c>
      <c r="AG310" s="0" t="s">
        <v>46</v>
      </c>
      <c r="AH310" s="0" t="s">
        <v>46</v>
      </c>
      <c r="AI310" s="0" t="s">
        <v>46</v>
      </c>
      <c r="AJ310" s="0" t="s">
        <v>46</v>
      </c>
      <c r="AK310" s="0" t="s">
        <v>46</v>
      </c>
      <c r="AL310" s="0" t="s">
        <v>46</v>
      </c>
    </row>
    <row r="311" customFormat="false" ht="15" hidden="false" customHeight="false" outlineLevel="0" collapsed="false">
      <c r="B311" s="0" t="str">
        <f aca="false">HYPERLINK("https://genome.ucsc.edu/cgi-bin/hgTracks?db=hg19&amp;position=chr3%3A142169239%2D142169239", "chr3:142169239")</f>
        <v>chr3:142169239</v>
      </c>
      <c r="C311" s="0" t="s">
        <v>269</v>
      </c>
      <c r="D311" s="0" t="n">
        <v>142169239</v>
      </c>
      <c r="E311" s="0" t="n">
        <v>142169239</v>
      </c>
      <c r="F311" s="0" t="s">
        <v>40</v>
      </c>
      <c r="G311" s="0" t="s">
        <v>82</v>
      </c>
      <c r="H311" s="0" t="s">
        <v>1870</v>
      </c>
      <c r="I311" s="0" t="s">
        <v>375</v>
      </c>
      <c r="J311" s="0" t="s">
        <v>1871</v>
      </c>
      <c r="K311" s="0" t="s">
        <v>46</v>
      </c>
      <c r="L311" s="0" t="str">
        <f aca="false">HYPERLINK("https://www.ncbi.nlm.nih.gov/snp/rs112748363", "rs112748363")</f>
        <v>rs112748363</v>
      </c>
      <c r="M311" s="0" t="str">
        <f aca="false">HYPERLINK("https://www.genecards.org/Search/Keyword?queryString=%5Baliases%5D(%20ATR%20)&amp;keywords=ATR", "ATR")</f>
        <v>ATR</v>
      </c>
      <c r="N311" s="0" t="s">
        <v>1872</v>
      </c>
      <c r="O311" s="0" t="s">
        <v>46</v>
      </c>
      <c r="P311" s="0" t="s">
        <v>1873</v>
      </c>
      <c r="Q311" s="0" t="n">
        <v>0.0092</v>
      </c>
      <c r="R311" s="0" t="n">
        <v>0.0055</v>
      </c>
      <c r="S311" s="0" t="n">
        <v>0.0051</v>
      </c>
      <c r="T311" s="0" t="n">
        <v>-1</v>
      </c>
      <c r="U311" s="0" t="n">
        <v>0.0072</v>
      </c>
      <c r="V311" s="0" t="s">
        <v>46</v>
      </c>
      <c r="W311" s="0" t="s">
        <v>46</v>
      </c>
      <c r="X311" s="0" t="s">
        <v>46</v>
      </c>
      <c r="Y311" s="0" t="s">
        <v>46</v>
      </c>
      <c r="Z311" s="0" t="s">
        <v>46</v>
      </c>
      <c r="AA311" s="0" t="s">
        <v>46</v>
      </c>
      <c r="AB311" s="0" t="s">
        <v>46</v>
      </c>
      <c r="AC311" s="0" t="s">
        <v>50</v>
      </c>
      <c r="AD311" s="0" t="s">
        <v>51</v>
      </c>
      <c r="AE311" s="0" t="s">
        <v>1874</v>
      </c>
      <c r="AF311" s="0" t="s">
        <v>1875</v>
      </c>
      <c r="AG311" s="0" t="s">
        <v>1876</v>
      </c>
      <c r="AH311" s="0" t="s">
        <v>1877</v>
      </c>
      <c r="AI311" s="0" t="s">
        <v>46</v>
      </c>
      <c r="AJ311" s="0" t="s">
        <v>46</v>
      </c>
      <c r="AK311" s="0" t="s">
        <v>46</v>
      </c>
      <c r="AL311" s="0" t="s">
        <v>46</v>
      </c>
    </row>
    <row r="312" customFormat="false" ht="15" hidden="false" customHeight="false" outlineLevel="0" collapsed="false">
      <c r="B312" s="0" t="str">
        <f aca="false">HYPERLINK("https://genome.ucsc.edu/cgi-bin/hgTracks?db=hg19&amp;position=chr3%3A172064343%2D172064343", "chr3:172064343")</f>
        <v>chr3:172064343</v>
      </c>
      <c r="C312" s="0" t="s">
        <v>269</v>
      </c>
      <c r="D312" s="0" t="n">
        <v>172064343</v>
      </c>
      <c r="E312" s="0" t="n">
        <v>172064343</v>
      </c>
      <c r="F312" s="0" t="s">
        <v>82</v>
      </c>
      <c r="G312" s="0" t="s">
        <v>40</v>
      </c>
      <c r="H312" s="0" t="s">
        <v>951</v>
      </c>
      <c r="I312" s="0" t="s">
        <v>304</v>
      </c>
      <c r="J312" s="0" t="s">
        <v>1878</v>
      </c>
      <c r="K312" s="0" t="s">
        <v>46</v>
      </c>
      <c r="L312" s="0" t="str">
        <f aca="false">HYPERLINK("https://www.ncbi.nlm.nih.gov/snp/rs115904793", "rs115904793")</f>
        <v>rs115904793</v>
      </c>
      <c r="M312" s="0" t="str">
        <f aca="false">HYPERLINK("https://www.genecards.org/Search/Keyword?queryString=%5Baliases%5D(%20FNDC3B%20)&amp;keywords=FNDC3B", "FNDC3B")</f>
        <v>FNDC3B</v>
      </c>
      <c r="N312" s="0" t="s">
        <v>45</v>
      </c>
      <c r="O312" s="0" t="s">
        <v>46</v>
      </c>
      <c r="P312" s="0" t="s">
        <v>46</v>
      </c>
      <c r="Q312" s="0" t="n">
        <v>0.0204</v>
      </c>
      <c r="R312" s="0" t="n">
        <v>0.0138</v>
      </c>
      <c r="S312" s="0" t="n">
        <v>0.013</v>
      </c>
      <c r="T312" s="0" t="n">
        <v>-1</v>
      </c>
      <c r="U312" s="0" t="n">
        <v>0.0136</v>
      </c>
      <c r="V312" s="0" t="s">
        <v>46</v>
      </c>
      <c r="W312" s="0" t="s">
        <v>46</v>
      </c>
      <c r="X312" s="0" t="s">
        <v>354</v>
      </c>
      <c r="Y312" s="0" t="s">
        <v>48</v>
      </c>
      <c r="Z312" s="0" t="s">
        <v>46</v>
      </c>
      <c r="AA312" s="0" t="s">
        <v>46</v>
      </c>
      <c r="AB312" s="0" t="s">
        <v>46</v>
      </c>
      <c r="AC312" s="0" t="s">
        <v>50</v>
      </c>
      <c r="AD312" s="0" t="s">
        <v>51</v>
      </c>
      <c r="AE312" s="0" t="s">
        <v>1879</v>
      </c>
      <c r="AF312" s="0" t="s">
        <v>1880</v>
      </c>
      <c r="AG312" s="0" t="s">
        <v>1881</v>
      </c>
      <c r="AH312" s="0" t="s">
        <v>46</v>
      </c>
      <c r="AI312" s="0" t="s">
        <v>46</v>
      </c>
      <c r="AJ312" s="0" t="s">
        <v>46</v>
      </c>
      <c r="AK312" s="0" t="s">
        <v>46</v>
      </c>
      <c r="AL312" s="0" t="s">
        <v>46</v>
      </c>
    </row>
    <row r="313" customFormat="false" ht="15" hidden="false" customHeight="false" outlineLevel="0" collapsed="false">
      <c r="B313" s="0" t="str">
        <f aca="false">HYPERLINK("https://genome.ucsc.edu/cgi-bin/hgTracks?db=hg19&amp;position=chr3%3A186442851%2D186442851", "chr3:186442851")</f>
        <v>chr3:186442851</v>
      </c>
      <c r="C313" s="0" t="s">
        <v>269</v>
      </c>
      <c r="D313" s="0" t="n">
        <v>186442851</v>
      </c>
      <c r="E313" s="0" t="n">
        <v>186442851</v>
      </c>
      <c r="F313" s="0" t="s">
        <v>82</v>
      </c>
      <c r="G313" s="0" t="s">
        <v>40</v>
      </c>
      <c r="H313" s="0" t="s">
        <v>1882</v>
      </c>
      <c r="I313" s="0" t="s">
        <v>1883</v>
      </c>
      <c r="J313" s="0" t="s">
        <v>1884</v>
      </c>
      <c r="K313" s="0" t="s">
        <v>46</v>
      </c>
      <c r="L313" s="0" t="str">
        <f aca="false">HYPERLINK("https://www.ncbi.nlm.nih.gov/snp/rs186482877", "rs186482877")</f>
        <v>rs186482877</v>
      </c>
      <c r="M313" s="0" t="str">
        <f aca="false">HYPERLINK("https://www.genecards.org/Search/Keyword?queryString=%5Baliases%5D(%20KNG1%20)&amp;keywords=KNG1", "KNG1")</f>
        <v>KNG1</v>
      </c>
      <c r="N313" s="0" t="s">
        <v>306</v>
      </c>
      <c r="O313" s="0" t="s">
        <v>46</v>
      </c>
      <c r="P313" s="0" t="s">
        <v>46</v>
      </c>
      <c r="Q313" s="0" t="n">
        <v>0.0101024</v>
      </c>
      <c r="R313" s="0" t="n">
        <v>0.0075</v>
      </c>
      <c r="S313" s="0" t="n">
        <v>0.0082</v>
      </c>
      <c r="T313" s="0" t="n">
        <v>-1</v>
      </c>
      <c r="U313" s="0" t="n">
        <v>0.0047</v>
      </c>
      <c r="V313" s="0" t="s">
        <v>46</v>
      </c>
      <c r="W313" s="0" t="s">
        <v>46</v>
      </c>
      <c r="X313" s="0" t="s">
        <v>307</v>
      </c>
      <c r="Y313" s="0" t="s">
        <v>48</v>
      </c>
      <c r="Z313" s="0" t="s">
        <v>46</v>
      </c>
      <c r="AA313" s="0" t="s">
        <v>46</v>
      </c>
      <c r="AB313" s="0" t="s">
        <v>46</v>
      </c>
      <c r="AC313" s="0" t="s">
        <v>50</v>
      </c>
      <c r="AD313" s="0" t="s">
        <v>51</v>
      </c>
      <c r="AE313" s="0" t="s">
        <v>1885</v>
      </c>
      <c r="AF313" s="0" t="s">
        <v>1886</v>
      </c>
      <c r="AG313" s="0" t="s">
        <v>1887</v>
      </c>
      <c r="AH313" s="0" t="s">
        <v>1888</v>
      </c>
      <c r="AI313" s="0" t="s">
        <v>46</v>
      </c>
      <c r="AJ313" s="0" t="s">
        <v>46</v>
      </c>
      <c r="AK313" s="0" t="s">
        <v>46</v>
      </c>
      <c r="AL313" s="0" t="s">
        <v>46</v>
      </c>
    </row>
    <row r="314" customFormat="false" ht="15" hidden="false" customHeight="false" outlineLevel="0" collapsed="false">
      <c r="B314" s="0" t="str">
        <f aca="false">HYPERLINK("https://genome.ucsc.edu/cgi-bin/hgTracks?db=hg19&amp;position=chr3%3A193272445%2D193272448", "chr3:193272445")</f>
        <v>chr3:193272445</v>
      </c>
      <c r="C314" s="0" t="s">
        <v>269</v>
      </c>
      <c r="D314" s="0" t="n">
        <v>193272445</v>
      </c>
      <c r="E314" s="0" t="n">
        <v>193272448</v>
      </c>
      <c r="F314" s="0" t="s">
        <v>1692</v>
      </c>
      <c r="G314" s="0" t="s">
        <v>185</v>
      </c>
      <c r="H314" s="0" t="s">
        <v>1889</v>
      </c>
      <c r="I314" s="0" t="s">
        <v>1043</v>
      </c>
      <c r="J314" s="0" t="s">
        <v>1890</v>
      </c>
      <c r="K314" s="0" t="s">
        <v>46</v>
      </c>
      <c r="L314" s="0" t="s">
        <v>46</v>
      </c>
      <c r="M314" s="0" t="str">
        <f aca="false">HYPERLINK("https://www.genecards.org/Search/Keyword?queryString=%5Baliases%5D(%20ATP13A4%20)%20OR%20%5Baliases%5D(%20ATP13A4-AS1%20)&amp;keywords=ATP13A4,ATP13A4-AS1", "ATP13A4;ATP13A4-AS1")</f>
        <v>ATP13A4;ATP13A4-AS1</v>
      </c>
      <c r="N314" s="0" t="s">
        <v>704</v>
      </c>
      <c r="O314" s="0" t="s">
        <v>46</v>
      </c>
      <c r="P314" s="0" t="s">
        <v>46</v>
      </c>
      <c r="Q314" s="0" t="n">
        <v>-1</v>
      </c>
      <c r="R314" s="0" t="n">
        <v>-1</v>
      </c>
      <c r="S314" s="0" t="n">
        <v>-1</v>
      </c>
      <c r="T314" s="0" t="n">
        <v>-1</v>
      </c>
      <c r="U314" s="0" t="n">
        <v>-1</v>
      </c>
      <c r="V314" s="0" t="s">
        <v>46</v>
      </c>
      <c r="W314" s="0" t="s">
        <v>46</v>
      </c>
      <c r="X314" s="0" t="s">
        <v>46</v>
      </c>
      <c r="Y314" s="0" t="s">
        <v>46</v>
      </c>
      <c r="Z314" s="0" t="s">
        <v>46</v>
      </c>
      <c r="AA314" s="0" t="s">
        <v>46</v>
      </c>
      <c r="AB314" s="0" t="s">
        <v>46</v>
      </c>
      <c r="AC314" s="0" t="s">
        <v>254</v>
      </c>
      <c r="AD314" s="0" t="s">
        <v>191</v>
      </c>
      <c r="AE314" s="0" t="s">
        <v>1891</v>
      </c>
      <c r="AF314" s="0" t="s">
        <v>1892</v>
      </c>
      <c r="AG314" s="0" t="s">
        <v>46</v>
      </c>
      <c r="AH314" s="0" t="s">
        <v>1893</v>
      </c>
      <c r="AI314" s="0" t="s">
        <v>46</v>
      </c>
      <c r="AJ314" s="0" t="s">
        <v>46</v>
      </c>
      <c r="AK314" s="0" t="s">
        <v>46</v>
      </c>
      <c r="AL314" s="0" t="s">
        <v>46</v>
      </c>
    </row>
    <row r="315" customFormat="false" ht="15" hidden="false" customHeight="false" outlineLevel="0" collapsed="false">
      <c r="B315" s="0" t="str">
        <f aca="false">HYPERLINK("https://genome.ucsc.edu/cgi-bin/hgTracks?db=hg19&amp;position=chr4%3A432372%2D432376", "chr4:432372")</f>
        <v>chr4:432372</v>
      </c>
      <c r="C315" s="0" t="s">
        <v>56</v>
      </c>
      <c r="D315" s="0" t="n">
        <v>432372</v>
      </c>
      <c r="E315" s="0" t="n">
        <v>432376</v>
      </c>
      <c r="F315" s="0" t="s">
        <v>1894</v>
      </c>
      <c r="G315" s="0" t="s">
        <v>185</v>
      </c>
      <c r="H315" s="0" t="s">
        <v>1895</v>
      </c>
      <c r="I315" s="0" t="s">
        <v>1896</v>
      </c>
      <c r="J315" s="0" t="s">
        <v>1897</v>
      </c>
      <c r="K315" s="0" t="s">
        <v>46</v>
      </c>
      <c r="L315" s="0" t="str">
        <f aca="false">HYPERLINK("https://www.ncbi.nlm.nih.gov/snp/rs556669926", "rs556669926")</f>
        <v>rs556669926</v>
      </c>
      <c r="M315" s="0" t="str">
        <f aca="false">HYPERLINK("https://www.genecards.org/Search/Keyword?queryString=%5Baliases%5D(%20ABCA11P%20)&amp;keywords=ABCA11P", "ABCA11P")</f>
        <v>ABCA11P</v>
      </c>
      <c r="N315" s="0" t="s">
        <v>468</v>
      </c>
      <c r="O315" s="0" t="s">
        <v>76</v>
      </c>
      <c r="P315" s="0" t="s">
        <v>1898</v>
      </c>
      <c r="Q315" s="0" t="n">
        <v>0.0263</v>
      </c>
      <c r="R315" s="0" t="n">
        <v>0.0257</v>
      </c>
      <c r="S315" s="0" t="n">
        <v>0.0263</v>
      </c>
      <c r="T315" s="0" t="n">
        <v>-1</v>
      </c>
      <c r="U315" s="0" t="n">
        <v>0.0274</v>
      </c>
      <c r="V315" s="0" t="s">
        <v>46</v>
      </c>
      <c r="W315" s="0" t="s">
        <v>46</v>
      </c>
      <c r="X315" s="0" t="s">
        <v>46</v>
      </c>
      <c r="Y315" s="0" t="s">
        <v>46</v>
      </c>
      <c r="Z315" s="0" t="s">
        <v>46</v>
      </c>
      <c r="AA315" s="0" t="s">
        <v>46</v>
      </c>
      <c r="AB315" s="0" t="s">
        <v>46</v>
      </c>
      <c r="AC315" s="0" t="s">
        <v>50</v>
      </c>
      <c r="AD315" s="0" t="s">
        <v>51</v>
      </c>
      <c r="AE315" s="0" t="s">
        <v>46</v>
      </c>
      <c r="AF315" s="0" t="s">
        <v>1899</v>
      </c>
      <c r="AG315" s="0" t="s">
        <v>46</v>
      </c>
      <c r="AH315" s="0" t="s">
        <v>46</v>
      </c>
      <c r="AI315" s="0" t="s">
        <v>46</v>
      </c>
      <c r="AJ315" s="0" t="s">
        <v>46</v>
      </c>
      <c r="AK315" s="0" t="s">
        <v>46</v>
      </c>
      <c r="AL315" s="0" t="s">
        <v>46</v>
      </c>
    </row>
    <row r="316" customFormat="false" ht="15" hidden="false" customHeight="false" outlineLevel="0" collapsed="false">
      <c r="B316" s="0" t="str">
        <f aca="false">HYPERLINK("https://genome.ucsc.edu/cgi-bin/hgTracks?db=hg19&amp;position=chr4%3A655782%2D655782", "chr4:655782")</f>
        <v>chr4:655782</v>
      </c>
      <c r="C316" s="0" t="s">
        <v>56</v>
      </c>
      <c r="D316" s="0" t="n">
        <v>655782</v>
      </c>
      <c r="E316" s="0" t="n">
        <v>655782</v>
      </c>
      <c r="F316" s="0" t="s">
        <v>39</v>
      </c>
      <c r="G316" s="0" t="s">
        <v>57</v>
      </c>
      <c r="H316" s="0" t="s">
        <v>1900</v>
      </c>
      <c r="I316" s="0" t="s">
        <v>903</v>
      </c>
      <c r="J316" s="0" t="s">
        <v>1901</v>
      </c>
      <c r="K316" s="0" t="s">
        <v>46</v>
      </c>
      <c r="L316" s="0" t="str">
        <f aca="false">HYPERLINK("https://www.ncbi.nlm.nih.gov/snp/rs187617843", "rs187617843")</f>
        <v>rs187617843</v>
      </c>
      <c r="M316" s="0" t="str">
        <f aca="false">HYPERLINK("https://www.genecards.org/Search/Keyword?queryString=%5Baliases%5D(%20PDE6B%20)&amp;keywords=PDE6B", "PDE6B")</f>
        <v>PDE6B</v>
      </c>
      <c r="N316" s="0" t="s">
        <v>45</v>
      </c>
      <c r="O316" s="0" t="s">
        <v>46</v>
      </c>
      <c r="P316" s="0" t="s">
        <v>46</v>
      </c>
      <c r="Q316" s="0" t="n">
        <v>0.0191</v>
      </c>
      <c r="R316" s="0" t="n">
        <v>0.0208</v>
      </c>
      <c r="S316" s="0" t="n">
        <v>0.0198</v>
      </c>
      <c r="T316" s="0" t="n">
        <v>-1</v>
      </c>
      <c r="U316" s="0" t="n">
        <v>0.0297</v>
      </c>
      <c r="V316" s="0" t="s">
        <v>46</v>
      </c>
      <c r="W316" s="0" t="s">
        <v>46</v>
      </c>
      <c r="X316" s="0" t="s">
        <v>354</v>
      </c>
      <c r="Y316" s="0" t="s">
        <v>48</v>
      </c>
      <c r="Z316" s="0" t="s">
        <v>46</v>
      </c>
      <c r="AA316" s="0" t="s">
        <v>46</v>
      </c>
      <c r="AB316" s="0" t="s">
        <v>46</v>
      </c>
      <c r="AC316" s="0" t="s">
        <v>50</v>
      </c>
      <c r="AD316" s="0" t="s">
        <v>51</v>
      </c>
      <c r="AE316" s="0" t="s">
        <v>1902</v>
      </c>
      <c r="AF316" s="0" t="s">
        <v>1903</v>
      </c>
      <c r="AG316" s="0" t="s">
        <v>1904</v>
      </c>
      <c r="AH316" s="0" t="s">
        <v>1905</v>
      </c>
      <c r="AI316" s="0" t="s">
        <v>46</v>
      </c>
      <c r="AJ316" s="0" t="s">
        <v>46</v>
      </c>
      <c r="AK316" s="0" t="s">
        <v>46</v>
      </c>
      <c r="AL316" s="0" t="s">
        <v>46</v>
      </c>
    </row>
    <row r="317" customFormat="false" ht="15" hidden="false" customHeight="false" outlineLevel="0" collapsed="false">
      <c r="B317" s="0" t="str">
        <f aca="false">HYPERLINK("https://genome.ucsc.edu/cgi-bin/hgTracks?db=hg19&amp;position=chr4%3A1388350%2D1388350", "chr4:1388350")</f>
        <v>chr4:1388350</v>
      </c>
      <c r="C317" s="0" t="s">
        <v>56</v>
      </c>
      <c r="D317" s="0" t="n">
        <v>1388350</v>
      </c>
      <c r="E317" s="0" t="n">
        <v>1388350</v>
      </c>
      <c r="F317" s="0" t="s">
        <v>185</v>
      </c>
      <c r="G317" s="0" t="s">
        <v>1906</v>
      </c>
      <c r="H317" s="0" t="s">
        <v>1907</v>
      </c>
      <c r="I317" s="0" t="s">
        <v>1908</v>
      </c>
      <c r="J317" s="0" t="s">
        <v>1909</v>
      </c>
      <c r="K317" s="0" t="s">
        <v>46</v>
      </c>
      <c r="L317" s="0" t="str">
        <f aca="false">HYPERLINK("https://www.ncbi.nlm.nih.gov/snp/rs750778284", "rs750778284")</f>
        <v>rs750778284</v>
      </c>
      <c r="M317" s="0" t="str">
        <f aca="false">HYPERLINK("https://www.genecards.org/Search/Keyword?queryString=%5Baliases%5D(%20CRIPAK%20)&amp;keywords=CRIPAK", "CRIPAK")</f>
        <v>CRIPAK</v>
      </c>
      <c r="N317" s="0" t="s">
        <v>440</v>
      </c>
      <c r="O317" s="0" t="s">
        <v>273</v>
      </c>
      <c r="P317" s="0" t="s">
        <v>1910</v>
      </c>
      <c r="Q317" s="0" t="n">
        <v>0.0010543</v>
      </c>
      <c r="R317" s="0" t="n">
        <v>-1</v>
      </c>
      <c r="S317" s="0" t="n">
        <v>-1</v>
      </c>
      <c r="T317" s="0" t="n">
        <v>-1</v>
      </c>
      <c r="U317" s="0" t="n">
        <v>-1</v>
      </c>
      <c r="V317" s="0" t="s">
        <v>46</v>
      </c>
      <c r="W317" s="0" t="s">
        <v>46</v>
      </c>
      <c r="X317" s="0" t="s">
        <v>46</v>
      </c>
      <c r="Y317" s="0" t="s">
        <v>46</v>
      </c>
      <c r="Z317" s="0" t="s">
        <v>46</v>
      </c>
      <c r="AA317" s="0" t="s">
        <v>46</v>
      </c>
      <c r="AB317" s="0" t="s">
        <v>46</v>
      </c>
      <c r="AC317" s="0" t="s">
        <v>50</v>
      </c>
      <c r="AD317" s="0" t="s">
        <v>210</v>
      </c>
      <c r="AE317" s="0" t="s">
        <v>1911</v>
      </c>
      <c r="AF317" s="0" t="s">
        <v>1912</v>
      </c>
      <c r="AG317" s="0" t="s">
        <v>1913</v>
      </c>
      <c r="AH317" s="0" t="s">
        <v>46</v>
      </c>
      <c r="AI317" s="0" t="s">
        <v>46</v>
      </c>
      <c r="AJ317" s="0" t="s">
        <v>46</v>
      </c>
      <c r="AK317" s="0" t="s">
        <v>46</v>
      </c>
      <c r="AL317" s="0" t="s">
        <v>46</v>
      </c>
    </row>
    <row r="318" customFormat="false" ht="15" hidden="false" customHeight="false" outlineLevel="0" collapsed="false">
      <c r="B318" s="0" t="str">
        <f aca="false">HYPERLINK("https://genome.ucsc.edu/cgi-bin/hgTracks?db=hg19&amp;position=chr4%3A1388788%2D1388788", "chr4:1388788")</f>
        <v>chr4:1388788</v>
      </c>
      <c r="C318" s="0" t="s">
        <v>56</v>
      </c>
      <c r="D318" s="0" t="n">
        <v>1388788</v>
      </c>
      <c r="E318" s="0" t="n">
        <v>1388788</v>
      </c>
      <c r="F318" s="0" t="s">
        <v>185</v>
      </c>
      <c r="G318" s="0" t="s">
        <v>1914</v>
      </c>
      <c r="H318" s="0" t="s">
        <v>1915</v>
      </c>
      <c r="I318" s="0" t="s">
        <v>329</v>
      </c>
      <c r="J318" s="0" t="s">
        <v>1916</v>
      </c>
      <c r="K318" s="0" t="s">
        <v>46</v>
      </c>
      <c r="L318" s="0" t="s">
        <v>46</v>
      </c>
      <c r="M318" s="0" t="str">
        <f aca="false">HYPERLINK("https://www.genecards.org/Search/Keyword?queryString=%5Baliases%5D(%20CRIPAK%20)&amp;keywords=CRIPAK", "CRIPAK")</f>
        <v>CRIPAK</v>
      </c>
      <c r="N318" s="0" t="s">
        <v>440</v>
      </c>
      <c r="O318" s="0" t="s">
        <v>273</v>
      </c>
      <c r="P318" s="0" t="s">
        <v>1917</v>
      </c>
      <c r="Q318" s="0" t="n">
        <v>0.0021</v>
      </c>
      <c r="R318" s="0" t="n">
        <v>0.0004</v>
      </c>
      <c r="S318" s="0" t="n">
        <v>0.0007</v>
      </c>
      <c r="T318" s="0" t="n">
        <v>-1</v>
      </c>
      <c r="U318" s="0" t="n">
        <v>0.0009</v>
      </c>
      <c r="V318" s="0" t="s">
        <v>46</v>
      </c>
      <c r="W318" s="0" t="s">
        <v>46</v>
      </c>
      <c r="X318" s="0" t="s">
        <v>46</v>
      </c>
      <c r="Y318" s="0" t="s">
        <v>46</v>
      </c>
      <c r="Z318" s="0" t="s">
        <v>46</v>
      </c>
      <c r="AA318" s="0" t="s">
        <v>46</v>
      </c>
      <c r="AB318" s="0" t="s">
        <v>46</v>
      </c>
      <c r="AC318" s="0" t="s">
        <v>50</v>
      </c>
      <c r="AD318" s="0" t="s">
        <v>210</v>
      </c>
      <c r="AE318" s="0" t="s">
        <v>1911</v>
      </c>
      <c r="AF318" s="0" t="s">
        <v>1912</v>
      </c>
      <c r="AG318" s="0" t="s">
        <v>1913</v>
      </c>
      <c r="AH318" s="0" t="s">
        <v>46</v>
      </c>
      <c r="AI318" s="0" t="s">
        <v>571</v>
      </c>
      <c r="AJ318" s="0" t="s">
        <v>46</v>
      </c>
      <c r="AK318" s="0" t="s">
        <v>46</v>
      </c>
      <c r="AL318" s="0" t="s">
        <v>46</v>
      </c>
    </row>
    <row r="319" customFormat="false" ht="15" hidden="false" customHeight="false" outlineLevel="0" collapsed="false">
      <c r="B319" s="0" t="str">
        <f aca="false">HYPERLINK("https://genome.ucsc.edu/cgi-bin/hgTracks?db=hg19&amp;position=chr4%3A1388944%2D1388947", "chr4:1388944")</f>
        <v>chr4:1388944</v>
      </c>
      <c r="C319" s="0" t="s">
        <v>56</v>
      </c>
      <c r="D319" s="0" t="n">
        <v>1388944</v>
      </c>
      <c r="E319" s="0" t="n">
        <v>1388947</v>
      </c>
      <c r="F319" s="0" t="s">
        <v>1918</v>
      </c>
      <c r="G319" s="0" t="s">
        <v>185</v>
      </c>
      <c r="H319" s="0" t="s">
        <v>1919</v>
      </c>
      <c r="I319" s="0" t="s">
        <v>524</v>
      </c>
      <c r="J319" s="0" t="s">
        <v>1920</v>
      </c>
      <c r="K319" s="0" t="s">
        <v>46</v>
      </c>
      <c r="L319" s="0" t="str">
        <f aca="false">HYPERLINK("https://www.ncbi.nlm.nih.gov/snp/rs753152931", "rs753152931")</f>
        <v>rs753152931</v>
      </c>
      <c r="M319" s="0" t="str">
        <f aca="false">HYPERLINK("https://www.genecards.org/Search/Keyword?queryString=%5Baliases%5D(%20CRIPAK%20)&amp;keywords=CRIPAK", "CRIPAK")</f>
        <v>CRIPAK</v>
      </c>
      <c r="N319" s="0" t="s">
        <v>440</v>
      </c>
      <c r="O319" s="0" t="s">
        <v>262</v>
      </c>
      <c r="P319" s="0" t="s">
        <v>1921</v>
      </c>
      <c r="Q319" s="0" t="n">
        <v>0.011</v>
      </c>
      <c r="R319" s="0" t="n">
        <v>0.011</v>
      </c>
      <c r="S319" s="0" t="n">
        <v>0.0134</v>
      </c>
      <c r="T319" s="0" t="n">
        <v>-1</v>
      </c>
      <c r="U319" s="0" t="n">
        <v>0.0117</v>
      </c>
      <c r="V319" s="0" t="s">
        <v>46</v>
      </c>
      <c r="W319" s="0" t="s">
        <v>46</v>
      </c>
      <c r="X319" s="0" t="s">
        <v>46</v>
      </c>
      <c r="Y319" s="0" t="s">
        <v>46</v>
      </c>
      <c r="Z319" s="0" t="s">
        <v>46</v>
      </c>
      <c r="AA319" s="0" t="s">
        <v>46</v>
      </c>
      <c r="AB319" s="0" t="s">
        <v>46</v>
      </c>
      <c r="AC319" s="0" t="s">
        <v>50</v>
      </c>
      <c r="AD319" s="0" t="s">
        <v>210</v>
      </c>
      <c r="AE319" s="0" t="s">
        <v>1911</v>
      </c>
      <c r="AF319" s="0" t="s">
        <v>1912</v>
      </c>
      <c r="AG319" s="0" t="s">
        <v>1913</v>
      </c>
      <c r="AH319" s="0" t="s">
        <v>46</v>
      </c>
      <c r="AI319" s="0" t="s">
        <v>571</v>
      </c>
      <c r="AJ319" s="0" t="s">
        <v>46</v>
      </c>
      <c r="AK319" s="0" t="s">
        <v>46</v>
      </c>
      <c r="AL319" s="0" t="s">
        <v>46</v>
      </c>
    </row>
    <row r="320" customFormat="false" ht="15" hidden="false" customHeight="false" outlineLevel="0" collapsed="false">
      <c r="B320" s="0" t="str">
        <f aca="false">HYPERLINK("https://genome.ucsc.edu/cgi-bin/hgTracks?db=hg19&amp;position=chr4%3A1388949%2D1389037", "chr4:1388949")</f>
        <v>chr4:1388949</v>
      </c>
      <c r="C320" s="0" t="s">
        <v>56</v>
      </c>
      <c r="D320" s="0" t="n">
        <v>1388949</v>
      </c>
      <c r="E320" s="0" t="n">
        <v>1389037</v>
      </c>
      <c r="F320" s="0" t="s">
        <v>1922</v>
      </c>
      <c r="G320" s="0" t="s">
        <v>185</v>
      </c>
      <c r="H320" s="0" t="s">
        <v>1923</v>
      </c>
      <c r="I320" s="0" t="s">
        <v>1350</v>
      </c>
      <c r="J320" s="0" t="s">
        <v>1924</v>
      </c>
      <c r="K320" s="0" t="s">
        <v>46</v>
      </c>
      <c r="L320" s="0" t="s">
        <v>46</v>
      </c>
      <c r="M320" s="0" t="str">
        <f aca="false">HYPERLINK("https://www.genecards.org/Search/Keyword?queryString=%5Baliases%5D(%20CRIPAK%20)&amp;keywords=CRIPAK", "CRIPAK")</f>
        <v>CRIPAK</v>
      </c>
      <c r="N320" s="0" t="s">
        <v>440</v>
      </c>
      <c r="O320" s="0" t="s">
        <v>262</v>
      </c>
      <c r="P320" s="0" t="s">
        <v>1925</v>
      </c>
      <c r="Q320" s="0" t="n">
        <v>0.0136</v>
      </c>
      <c r="R320" s="0" t="n">
        <v>0.0135</v>
      </c>
      <c r="S320" s="0" t="n">
        <v>0.0161</v>
      </c>
      <c r="T320" s="0" t="n">
        <v>-1</v>
      </c>
      <c r="U320" s="0" t="n">
        <v>0.0156</v>
      </c>
      <c r="V320" s="0" t="s">
        <v>46</v>
      </c>
      <c r="W320" s="0" t="s">
        <v>46</v>
      </c>
      <c r="X320" s="0" t="s">
        <v>46</v>
      </c>
      <c r="Y320" s="0" t="s">
        <v>46</v>
      </c>
      <c r="Z320" s="0" t="s">
        <v>46</v>
      </c>
      <c r="AA320" s="0" t="s">
        <v>46</v>
      </c>
      <c r="AB320" s="0" t="s">
        <v>46</v>
      </c>
      <c r="AC320" s="0" t="s">
        <v>50</v>
      </c>
      <c r="AD320" s="0" t="s">
        <v>210</v>
      </c>
      <c r="AE320" s="0" t="s">
        <v>1911</v>
      </c>
      <c r="AF320" s="0" t="s">
        <v>1912</v>
      </c>
      <c r="AG320" s="0" t="s">
        <v>1913</v>
      </c>
      <c r="AH320" s="0" t="s">
        <v>46</v>
      </c>
      <c r="AI320" s="0" t="s">
        <v>571</v>
      </c>
      <c r="AJ320" s="0" t="s">
        <v>46</v>
      </c>
      <c r="AK320" s="0" t="s">
        <v>46</v>
      </c>
      <c r="AL320" s="0" t="s">
        <v>46</v>
      </c>
    </row>
    <row r="321" customFormat="false" ht="15" hidden="false" customHeight="false" outlineLevel="0" collapsed="false">
      <c r="B321" s="0" t="str">
        <f aca="false">HYPERLINK("https://genome.ucsc.edu/cgi-bin/hgTracks?db=hg19&amp;position=chr4%3A1960975%2D1960975", "chr4:1960975")</f>
        <v>chr4:1960975</v>
      </c>
      <c r="C321" s="0" t="s">
        <v>56</v>
      </c>
      <c r="D321" s="0" t="n">
        <v>1960975</v>
      </c>
      <c r="E321" s="0" t="n">
        <v>1960975</v>
      </c>
      <c r="F321" s="0" t="s">
        <v>39</v>
      </c>
      <c r="G321" s="0" t="s">
        <v>57</v>
      </c>
      <c r="H321" s="0" t="s">
        <v>1926</v>
      </c>
      <c r="I321" s="0" t="s">
        <v>187</v>
      </c>
      <c r="J321" s="0" t="s">
        <v>1927</v>
      </c>
      <c r="K321" s="0" t="s">
        <v>46</v>
      </c>
      <c r="L321" s="0" t="str">
        <f aca="false">HYPERLINK("https://www.ncbi.nlm.nih.gov/snp/rs145841923", "rs145841923")</f>
        <v>rs145841923</v>
      </c>
      <c r="M321" s="0" t="str">
        <f aca="false">HYPERLINK("https://www.genecards.org/Search/Keyword?queryString=%5Baliases%5D(%20NSD2%20)%20OR%20%5Baliases%5D(%20WHSC1%20)&amp;keywords=NSD2,WHSC1", "NSD2;WHSC1")</f>
        <v>NSD2;WHSC1</v>
      </c>
      <c r="N321" s="0" t="s">
        <v>45</v>
      </c>
      <c r="O321" s="0" t="s">
        <v>46</v>
      </c>
      <c r="P321" s="0" t="s">
        <v>46</v>
      </c>
      <c r="Q321" s="0" t="n">
        <v>0.0199</v>
      </c>
      <c r="R321" s="0" t="n">
        <v>0.0099</v>
      </c>
      <c r="S321" s="0" t="n">
        <v>0.0108</v>
      </c>
      <c r="T321" s="0" t="n">
        <v>-1</v>
      </c>
      <c r="U321" s="0" t="n">
        <v>0.0122</v>
      </c>
      <c r="V321" s="0" t="s">
        <v>46</v>
      </c>
      <c r="W321" s="0" t="s">
        <v>46</v>
      </c>
      <c r="X321" s="0" t="s">
        <v>354</v>
      </c>
      <c r="Y321" s="0" t="s">
        <v>48</v>
      </c>
      <c r="Z321" s="0" t="s">
        <v>46</v>
      </c>
      <c r="AA321" s="0" t="s">
        <v>46</v>
      </c>
      <c r="AB321" s="0" t="s">
        <v>46</v>
      </c>
      <c r="AC321" s="0" t="s">
        <v>50</v>
      </c>
      <c r="AD321" s="0" t="s">
        <v>191</v>
      </c>
      <c r="AE321" s="0" t="s">
        <v>1928</v>
      </c>
      <c r="AF321" s="0" t="s">
        <v>1929</v>
      </c>
      <c r="AG321" s="0" t="s">
        <v>1930</v>
      </c>
      <c r="AH321" s="0" t="s">
        <v>1931</v>
      </c>
      <c r="AI321" s="0" t="s">
        <v>46</v>
      </c>
      <c r="AJ321" s="0" t="s">
        <v>46</v>
      </c>
      <c r="AK321" s="0" t="s">
        <v>46</v>
      </c>
      <c r="AL321" s="0" t="s">
        <v>46</v>
      </c>
    </row>
    <row r="322" customFormat="false" ht="15" hidden="false" customHeight="false" outlineLevel="0" collapsed="false">
      <c r="B322" s="0" t="str">
        <f aca="false">HYPERLINK("https://genome.ucsc.edu/cgi-bin/hgTracks?db=hg19&amp;position=chr4%3A5990869%2D5990870", "chr4:5990869")</f>
        <v>chr4:5990869</v>
      </c>
      <c r="C322" s="0" t="s">
        <v>56</v>
      </c>
      <c r="D322" s="0" t="n">
        <v>5990869</v>
      </c>
      <c r="E322" s="0" t="n">
        <v>5990870</v>
      </c>
      <c r="F322" s="0" t="s">
        <v>1932</v>
      </c>
      <c r="G322" s="0" t="s">
        <v>185</v>
      </c>
      <c r="H322" s="0" t="s">
        <v>270</v>
      </c>
      <c r="I322" s="0" t="s">
        <v>42</v>
      </c>
      <c r="J322" s="0" t="s">
        <v>1933</v>
      </c>
      <c r="K322" s="0" t="s">
        <v>46</v>
      </c>
      <c r="L322" s="0" t="str">
        <f aca="false">HYPERLINK("https://www.ncbi.nlm.nih.gov/snp/rs143859826", "rs143859826")</f>
        <v>rs143859826</v>
      </c>
      <c r="M322" s="0" t="str">
        <f aca="false">HYPERLINK("https://www.genecards.org/Search/Keyword?queryString=%5Baliases%5D(%20C4orf50%20)%20OR%20%5Baliases%5D(%20FLJ46481%20)&amp;keywords=C4orf50,FLJ46481", "C4orf50;FLJ46481")</f>
        <v>C4orf50;FLJ46481</v>
      </c>
      <c r="N322" s="0" t="s">
        <v>1084</v>
      </c>
      <c r="O322" s="0" t="s">
        <v>262</v>
      </c>
      <c r="P322" s="0" t="s">
        <v>1934</v>
      </c>
      <c r="Q322" s="0" t="n">
        <v>0.0107</v>
      </c>
      <c r="R322" s="0" t="n">
        <v>0.0016</v>
      </c>
      <c r="S322" s="0" t="n">
        <v>7.591E-005</v>
      </c>
      <c r="T322" s="0" t="n">
        <v>-1</v>
      </c>
      <c r="U322" s="0" t="n">
        <v>0.0002</v>
      </c>
      <c r="V322" s="0" t="s">
        <v>46</v>
      </c>
      <c r="W322" s="0" t="s">
        <v>46</v>
      </c>
      <c r="X322" s="0" t="s">
        <v>46</v>
      </c>
      <c r="Y322" s="0" t="s">
        <v>46</v>
      </c>
      <c r="Z322" s="0" t="s">
        <v>46</v>
      </c>
      <c r="AA322" s="0" t="s">
        <v>46</v>
      </c>
      <c r="AB322" s="0" t="s">
        <v>46</v>
      </c>
      <c r="AC322" s="0" t="s">
        <v>50</v>
      </c>
      <c r="AD322" s="0" t="s">
        <v>191</v>
      </c>
      <c r="AE322" s="0" t="s">
        <v>1935</v>
      </c>
      <c r="AF322" s="0" t="s">
        <v>1936</v>
      </c>
      <c r="AG322" s="0" t="s">
        <v>46</v>
      </c>
      <c r="AH322" s="0" t="s">
        <v>46</v>
      </c>
      <c r="AI322" s="0" t="s">
        <v>46</v>
      </c>
      <c r="AJ322" s="0" t="s">
        <v>46</v>
      </c>
      <c r="AK322" s="0" t="s">
        <v>46</v>
      </c>
      <c r="AL322" s="0" t="s">
        <v>46</v>
      </c>
    </row>
    <row r="323" customFormat="false" ht="15" hidden="false" customHeight="false" outlineLevel="0" collapsed="false">
      <c r="B323" s="0" t="str">
        <f aca="false">HYPERLINK("https://genome.ucsc.edu/cgi-bin/hgTracks?db=hg19&amp;position=chr4%3A8294200%2D8294200", "chr4:8294200")</f>
        <v>chr4:8294200</v>
      </c>
      <c r="C323" s="0" t="s">
        <v>56</v>
      </c>
      <c r="D323" s="0" t="n">
        <v>8294200</v>
      </c>
      <c r="E323" s="0" t="n">
        <v>8294200</v>
      </c>
      <c r="F323" s="0" t="s">
        <v>40</v>
      </c>
      <c r="G323" s="0" t="s">
        <v>57</v>
      </c>
      <c r="H323" s="0" t="s">
        <v>1937</v>
      </c>
      <c r="I323" s="0" t="s">
        <v>1938</v>
      </c>
      <c r="J323" s="0" t="s">
        <v>1939</v>
      </c>
      <c r="K323" s="0" t="s">
        <v>46</v>
      </c>
      <c r="L323" s="0" t="str">
        <f aca="false">HYPERLINK("https://www.ncbi.nlm.nih.gov/snp/rs558744259", "rs558744259")</f>
        <v>rs558744259</v>
      </c>
      <c r="M323" s="0" t="str">
        <f aca="false">HYPERLINK("https://www.genecards.org/Search/Keyword?queryString=%5Baliases%5D(%20HTRA3%20)&amp;keywords=HTRA3", "HTRA3")</f>
        <v>HTRA3</v>
      </c>
      <c r="N323" s="0" t="s">
        <v>45</v>
      </c>
      <c r="O323" s="0" t="s">
        <v>46</v>
      </c>
      <c r="P323" s="0" t="s">
        <v>46</v>
      </c>
      <c r="Q323" s="0" t="n">
        <v>0.0037</v>
      </c>
      <c r="R323" s="0" t="n">
        <v>0.0023</v>
      </c>
      <c r="S323" s="0" t="n">
        <v>0.0023</v>
      </c>
      <c r="T323" s="0" t="n">
        <v>-1</v>
      </c>
      <c r="U323" s="0" t="n">
        <v>0.0031</v>
      </c>
      <c r="V323" s="0" t="s">
        <v>46</v>
      </c>
      <c r="W323" s="0" t="s">
        <v>46</v>
      </c>
      <c r="X323" s="0" t="s">
        <v>354</v>
      </c>
      <c r="Y323" s="0" t="s">
        <v>48</v>
      </c>
      <c r="Z323" s="0" t="s">
        <v>46</v>
      </c>
      <c r="AA323" s="0" t="s">
        <v>46</v>
      </c>
      <c r="AB323" s="0" t="s">
        <v>46</v>
      </c>
      <c r="AC323" s="0" t="s">
        <v>50</v>
      </c>
      <c r="AD323" s="0" t="s">
        <v>51</v>
      </c>
      <c r="AE323" s="0" t="s">
        <v>1940</v>
      </c>
      <c r="AF323" s="0" t="s">
        <v>1941</v>
      </c>
      <c r="AG323" s="0" t="s">
        <v>1942</v>
      </c>
      <c r="AH323" s="0" t="s">
        <v>46</v>
      </c>
      <c r="AI323" s="0" t="s">
        <v>46</v>
      </c>
      <c r="AJ323" s="0" t="s">
        <v>46</v>
      </c>
      <c r="AK323" s="0" t="s">
        <v>46</v>
      </c>
      <c r="AL323" s="0" t="s">
        <v>46</v>
      </c>
    </row>
    <row r="324" customFormat="false" ht="15" hidden="false" customHeight="false" outlineLevel="0" collapsed="false">
      <c r="B324" s="0" t="str">
        <f aca="false">HYPERLINK("https://genome.ucsc.edu/cgi-bin/hgTracks?db=hg19&amp;position=chr4%3A40124729%2D40124729", "chr4:40124729")</f>
        <v>chr4:40124729</v>
      </c>
      <c r="C324" s="0" t="s">
        <v>56</v>
      </c>
      <c r="D324" s="0" t="n">
        <v>40124729</v>
      </c>
      <c r="E324" s="0" t="n">
        <v>40124729</v>
      </c>
      <c r="F324" s="0" t="s">
        <v>82</v>
      </c>
      <c r="G324" s="0" t="s">
        <v>57</v>
      </c>
      <c r="H324" s="0" t="s">
        <v>1943</v>
      </c>
      <c r="I324" s="0" t="s">
        <v>1944</v>
      </c>
      <c r="J324" s="0" t="s">
        <v>1945</v>
      </c>
      <c r="K324" s="0" t="s">
        <v>46</v>
      </c>
      <c r="L324" s="0" t="str">
        <f aca="false">HYPERLINK("https://www.ncbi.nlm.nih.gov/snp/rs750326620", "rs750326620")</f>
        <v>rs750326620</v>
      </c>
      <c r="M324" s="0" t="str">
        <f aca="false">HYPERLINK("https://www.genecards.org/Search/Keyword?queryString=%5Baliases%5D(%20N4BP2%20)&amp;keywords=N4BP2", "N4BP2")</f>
        <v>N4BP2</v>
      </c>
      <c r="N324" s="0" t="s">
        <v>45</v>
      </c>
      <c r="O324" s="0" t="s">
        <v>46</v>
      </c>
      <c r="P324" s="0" t="s">
        <v>46</v>
      </c>
      <c r="Q324" s="0" t="n">
        <v>0.0006</v>
      </c>
      <c r="R324" s="0" t="n">
        <v>0.0004</v>
      </c>
      <c r="S324" s="0" t="n">
        <v>0.0003</v>
      </c>
      <c r="T324" s="0" t="n">
        <v>-1</v>
      </c>
      <c r="U324" s="0" t="n">
        <v>0.0007</v>
      </c>
      <c r="V324" s="0" t="s">
        <v>46</v>
      </c>
      <c r="W324" s="0" t="s">
        <v>46</v>
      </c>
      <c r="X324" s="0" t="s">
        <v>47</v>
      </c>
      <c r="Y324" s="0" t="s">
        <v>48</v>
      </c>
      <c r="Z324" s="0" t="s">
        <v>46</v>
      </c>
      <c r="AA324" s="0" t="s">
        <v>46</v>
      </c>
      <c r="AB324" s="0" t="s">
        <v>46</v>
      </c>
      <c r="AC324" s="0" t="s">
        <v>50</v>
      </c>
      <c r="AD324" s="0" t="s">
        <v>51</v>
      </c>
      <c r="AE324" s="0" t="s">
        <v>1946</v>
      </c>
      <c r="AF324" s="0" t="s">
        <v>1947</v>
      </c>
      <c r="AG324" s="0" t="s">
        <v>1948</v>
      </c>
      <c r="AH324" s="0" t="s">
        <v>46</v>
      </c>
      <c r="AI324" s="0" t="s">
        <v>46</v>
      </c>
      <c r="AJ324" s="0" t="s">
        <v>46</v>
      </c>
      <c r="AK324" s="0" t="s">
        <v>46</v>
      </c>
      <c r="AL324" s="0" t="s">
        <v>46</v>
      </c>
    </row>
    <row r="325" customFormat="false" ht="15" hidden="false" customHeight="false" outlineLevel="0" collapsed="false">
      <c r="B325" s="0" t="str">
        <f aca="false">HYPERLINK("https://genome.ucsc.edu/cgi-bin/hgTracks?db=hg19&amp;position=chr4%3A55956321%2D55956321", "chr4:55956321")</f>
        <v>chr4:55956321</v>
      </c>
      <c r="C325" s="0" t="s">
        <v>56</v>
      </c>
      <c r="D325" s="0" t="n">
        <v>55956321</v>
      </c>
      <c r="E325" s="0" t="n">
        <v>55956321</v>
      </c>
      <c r="F325" s="0" t="s">
        <v>57</v>
      </c>
      <c r="G325" s="0" t="s">
        <v>185</v>
      </c>
      <c r="H325" s="0" t="s">
        <v>1725</v>
      </c>
      <c r="I325" s="0" t="s">
        <v>650</v>
      </c>
      <c r="J325" s="0" t="s">
        <v>1949</v>
      </c>
      <c r="K325" s="0" t="s">
        <v>46</v>
      </c>
      <c r="L325" s="0" t="s">
        <v>46</v>
      </c>
      <c r="M325" s="0" t="str">
        <f aca="false">HYPERLINK("https://www.genecards.org/Search/Keyword?queryString=%5Baliases%5D(%20KDR%20)&amp;keywords=KDR", "KDR")</f>
        <v>KDR</v>
      </c>
      <c r="N325" s="0" t="s">
        <v>306</v>
      </c>
      <c r="O325" s="0" t="s">
        <v>46</v>
      </c>
      <c r="P325" s="0" t="s">
        <v>46</v>
      </c>
      <c r="Q325" s="0" t="n">
        <v>0.0005</v>
      </c>
      <c r="R325" s="0" t="n">
        <v>0.0001</v>
      </c>
      <c r="S325" s="0" t="n">
        <v>-1</v>
      </c>
      <c r="T325" s="0" t="n">
        <v>-1</v>
      </c>
      <c r="U325" s="0" t="n">
        <v>-1</v>
      </c>
      <c r="V325" s="0" t="s">
        <v>46</v>
      </c>
      <c r="W325" s="0" t="s">
        <v>46</v>
      </c>
      <c r="X325" s="0" t="s">
        <v>46</v>
      </c>
      <c r="Y325" s="0" t="s">
        <v>46</v>
      </c>
      <c r="Z325" s="0" t="s">
        <v>46</v>
      </c>
      <c r="AA325" s="0" t="s">
        <v>46</v>
      </c>
      <c r="AB325" s="0" t="s">
        <v>46</v>
      </c>
      <c r="AC325" s="0" t="s">
        <v>50</v>
      </c>
      <c r="AD325" s="0" t="s">
        <v>51</v>
      </c>
      <c r="AE325" s="0" t="s">
        <v>1950</v>
      </c>
      <c r="AF325" s="0" t="s">
        <v>1951</v>
      </c>
      <c r="AG325" s="0" t="s">
        <v>1952</v>
      </c>
      <c r="AH325" s="0" t="s">
        <v>1953</v>
      </c>
      <c r="AI325" s="0" t="s">
        <v>46</v>
      </c>
      <c r="AJ325" s="0" t="s">
        <v>46</v>
      </c>
      <c r="AK325" s="0" t="s">
        <v>46</v>
      </c>
      <c r="AL325" s="0" t="s">
        <v>46</v>
      </c>
    </row>
    <row r="326" customFormat="false" ht="15" hidden="false" customHeight="false" outlineLevel="0" collapsed="false">
      <c r="B326" s="0" t="str">
        <f aca="false">HYPERLINK("https://genome.ucsc.edu/cgi-bin/hgTracks?db=hg19&amp;position=chr4%3A62778352%2D62778352", "chr4:62778352")</f>
        <v>chr4:62778352</v>
      </c>
      <c r="C326" s="0" t="s">
        <v>56</v>
      </c>
      <c r="D326" s="0" t="n">
        <v>62778352</v>
      </c>
      <c r="E326" s="0" t="n">
        <v>62778352</v>
      </c>
      <c r="F326" s="0" t="s">
        <v>82</v>
      </c>
      <c r="G326" s="0" t="s">
        <v>40</v>
      </c>
      <c r="H326" s="0" t="s">
        <v>1954</v>
      </c>
      <c r="I326" s="0" t="s">
        <v>1944</v>
      </c>
      <c r="J326" s="0" t="s">
        <v>1955</v>
      </c>
      <c r="K326" s="0" t="s">
        <v>46</v>
      </c>
      <c r="L326" s="0" t="str">
        <f aca="false">HYPERLINK("https://www.ncbi.nlm.nih.gov/snp/rs41278555", "rs41278555")</f>
        <v>rs41278555</v>
      </c>
      <c r="M326" s="0" t="str">
        <f aca="false">HYPERLINK("https://www.genecards.org/Search/Keyword?queryString=%5Baliases%5D(%20ADGRL3%20)%20OR%20%5Baliases%5D(%20LPHN3%20)&amp;keywords=ADGRL3,LPHN3", "ADGRL3;LPHN3")</f>
        <v>ADGRL3;LPHN3</v>
      </c>
      <c r="N326" s="0" t="s">
        <v>45</v>
      </c>
      <c r="O326" s="0" t="s">
        <v>46</v>
      </c>
      <c r="P326" s="0" t="s">
        <v>46</v>
      </c>
      <c r="Q326" s="0" t="n">
        <v>0.0158</v>
      </c>
      <c r="R326" s="0" t="n">
        <v>0.0116</v>
      </c>
      <c r="S326" s="0" t="n">
        <v>0.0109</v>
      </c>
      <c r="T326" s="0" t="n">
        <v>-1</v>
      </c>
      <c r="U326" s="0" t="n">
        <v>0.012</v>
      </c>
      <c r="V326" s="0" t="s">
        <v>46</v>
      </c>
      <c r="W326" s="0" t="s">
        <v>46</v>
      </c>
      <c r="X326" s="0" t="s">
        <v>47</v>
      </c>
      <c r="Y326" s="0" t="s">
        <v>48</v>
      </c>
      <c r="Z326" s="0" t="s">
        <v>46</v>
      </c>
      <c r="AA326" s="0" t="s">
        <v>46</v>
      </c>
      <c r="AB326" s="0" t="s">
        <v>46</v>
      </c>
      <c r="AC326" s="0" t="s">
        <v>50</v>
      </c>
      <c r="AD326" s="0" t="s">
        <v>191</v>
      </c>
      <c r="AE326" s="0" t="s">
        <v>46</v>
      </c>
      <c r="AF326" s="0" t="s">
        <v>1956</v>
      </c>
      <c r="AG326" s="0" t="s">
        <v>1957</v>
      </c>
      <c r="AH326" s="0" t="s">
        <v>46</v>
      </c>
      <c r="AI326" s="0" t="s">
        <v>46</v>
      </c>
      <c r="AJ326" s="0" t="s">
        <v>46</v>
      </c>
      <c r="AK326" s="0" t="s">
        <v>46</v>
      </c>
      <c r="AL326" s="0" t="s">
        <v>46</v>
      </c>
    </row>
    <row r="327" customFormat="false" ht="15" hidden="false" customHeight="false" outlineLevel="0" collapsed="false">
      <c r="B327" s="0" t="str">
        <f aca="false">HYPERLINK("https://genome.ucsc.edu/cgi-bin/hgTracks?db=hg19&amp;position=chr4%3A76804373%2D76804373", "chr4:76804373")</f>
        <v>chr4:76804373</v>
      </c>
      <c r="C327" s="0" t="s">
        <v>56</v>
      </c>
      <c r="D327" s="0" t="n">
        <v>76804373</v>
      </c>
      <c r="E327" s="0" t="n">
        <v>76804373</v>
      </c>
      <c r="F327" s="0" t="s">
        <v>57</v>
      </c>
      <c r="G327" s="0" t="s">
        <v>39</v>
      </c>
      <c r="H327" s="0" t="s">
        <v>594</v>
      </c>
      <c r="I327" s="0" t="s">
        <v>595</v>
      </c>
      <c r="J327" s="0" t="s">
        <v>627</v>
      </c>
      <c r="K327" s="0" t="s">
        <v>46</v>
      </c>
      <c r="L327" s="0" t="str">
        <f aca="false">HYPERLINK("https://www.ncbi.nlm.nih.gov/snp/rs761242096", "rs761242096")</f>
        <v>rs761242096</v>
      </c>
      <c r="M327" s="0" t="str">
        <f aca="false">HYPERLINK("https://www.genecards.org/Search/Keyword?queryString=%5Baliases%5D(%20PPEF2%20)&amp;keywords=PPEF2", "PPEF2")</f>
        <v>PPEF2</v>
      </c>
      <c r="N327" s="0" t="s">
        <v>45</v>
      </c>
      <c r="O327" s="0" t="s">
        <v>46</v>
      </c>
      <c r="P327" s="0" t="s">
        <v>46</v>
      </c>
      <c r="Q327" s="0" t="n">
        <v>6.479E-005</v>
      </c>
      <c r="R327" s="0" t="n">
        <v>9.016E-005</v>
      </c>
      <c r="S327" s="0" t="n">
        <v>7.34E-005</v>
      </c>
      <c r="T327" s="0" t="n">
        <v>-1</v>
      </c>
      <c r="U327" s="0" t="n">
        <v>-1</v>
      </c>
      <c r="V327" s="0" t="s">
        <v>46</v>
      </c>
      <c r="W327" s="0" t="s">
        <v>46</v>
      </c>
      <c r="X327" s="0" t="s">
        <v>354</v>
      </c>
      <c r="Y327" s="0" t="s">
        <v>48</v>
      </c>
      <c r="Z327" s="0" t="s">
        <v>46</v>
      </c>
      <c r="AA327" s="0" t="s">
        <v>46</v>
      </c>
      <c r="AB327" s="0" t="s">
        <v>46</v>
      </c>
      <c r="AC327" s="0" t="s">
        <v>50</v>
      </c>
      <c r="AD327" s="0" t="s">
        <v>51</v>
      </c>
      <c r="AE327" s="0" t="s">
        <v>1958</v>
      </c>
      <c r="AF327" s="0" t="s">
        <v>1959</v>
      </c>
      <c r="AG327" s="0" t="s">
        <v>1960</v>
      </c>
      <c r="AH327" s="0" t="s">
        <v>46</v>
      </c>
      <c r="AI327" s="0" t="s">
        <v>46</v>
      </c>
      <c r="AJ327" s="0" t="s">
        <v>46</v>
      </c>
      <c r="AK327" s="0" t="s">
        <v>46</v>
      </c>
      <c r="AL327" s="0" t="s">
        <v>46</v>
      </c>
    </row>
    <row r="328" customFormat="false" ht="15" hidden="false" customHeight="false" outlineLevel="0" collapsed="false">
      <c r="B328" s="0" t="str">
        <f aca="false">HYPERLINK("https://genome.ucsc.edu/cgi-bin/hgTracks?db=hg19&amp;position=chr4%3A81529399%2D81529399", "chr4:81529399")</f>
        <v>chr4:81529399</v>
      </c>
      <c r="C328" s="0" t="s">
        <v>56</v>
      </c>
      <c r="D328" s="0" t="n">
        <v>81529399</v>
      </c>
      <c r="E328" s="0" t="n">
        <v>81529399</v>
      </c>
      <c r="F328" s="0" t="s">
        <v>39</v>
      </c>
      <c r="G328" s="0" t="s">
        <v>57</v>
      </c>
      <c r="H328" s="0" t="s">
        <v>1961</v>
      </c>
      <c r="I328" s="0" t="s">
        <v>296</v>
      </c>
      <c r="J328" s="0" t="s">
        <v>1962</v>
      </c>
      <c r="K328" s="0" t="s">
        <v>46</v>
      </c>
      <c r="L328" s="0" t="str">
        <f aca="false">HYPERLINK("https://www.ncbi.nlm.nih.gov/snp/rs528431327", "rs528431327")</f>
        <v>rs528431327</v>
      </c>
      <c r="M328" s="0" t="str">
        <f aca="false">HYPERLINK("https://www.genecards.org/Search/Keyword?queryString=%5Baliases%5D(%20C4orf22%20)%20OR%20%5Baliases%5D(%20CFAP299%20)&amp;keywords=C4orf22,CFAP299", "C4orf22;CFAP299")</f>
        <v>C4orf22;CFAP299</v>
      </c>
      <c r="N328" s="0" t="s">
        <v>45</v>
      </c>
      <c r="O328" s="0" t="s">
        <v>46</v>
      </c>
      <c r="P328" s="0" t="s">
        <v>46</v>
      </c>
      <c r="Q328" s="0" t="n">
        <v>0.0138</v>
      </c>
      <c r="R328" s="0" t="n">
        <v>0.0039</v>
      </c>
      <c r="S328" s="0" t="n">
        <v>0.0028</v>
      </c>
      <c r="T328" s="0" t="n">
        <v>-1</v>
      </c>
      <c r="U328" s="0" t="n">
        <v>0.0047</v>
      </c>
      <c r="V328" s="0" t="s">
        <v>46</v>
      </c>
      <c r="W328" s="0" t="s">
        <v>46</v>
      </c>
      <c r="X328" s="0" t="s">
        <v>47</v>
      </c>
      <c r="Y328" s="0" t="s">
        <v>48</v>
      </c>
      <c r="Z328" s="0" t="s">
        <v>46</v>
      </c>
      <c r="AA328" s="0" t="s">
        <v>46</v>
      </c>
      <c r="AB328" s="0" t="s">
        <v>46</v>
      </c>
      <c r="AC328" s="0" t="s">
        <v>50</v>
      </c>
      <c r="AD328" s="0" t="s">
        <v>191</v>
      </c>
      <c r="AE328" s="0" t="s">
        <v>1963</v>
      </c>
      <c r="AF328" s="0" t="s">
        <v>1964</v>
      </c>
      <c r="AG328" s="0" t="s">
        <v>46</v>
      </c>
      <c r="AH328" s="0" t="s">
        <v>46</v>
      </c>
      <c r="AI328" s="0" t="s">
        <v>46</v>
      </c>
      <c r="AJ328" s="0" t="s">
        <v>46</v>
      </c>
      <c r="AK328" s="0" t="s">
        <v>46</v>
      </c>
      <c r="AL328" s="0" t="s">
        <v>46</v>
      </c>
    </row>
    <row r="329" customFormat="false" ht="15" hidden="false" customHeight="false" outlineLevel="0" collapsed="false">
      <c r="B329" s="0" t="str">
        <f aca="false">HYPERLINK("https://genome.ucsc.edu/cgi-bin/hgTracks?db=hg19&amp;position=chr4%3A87749039%2D87749039", "chr4:87749039")</f>
        <v>chr4:87749039</v>
      </c>
      <c r="C329" s="0" t="s">
        <v>56</v>
      </c>
      <c r="D329" s="0" t="n">
        <v>87749039</v>
      </c>
      <c r="E329" s="0" t="n">
        <v>87749039</v>
      </c>
      <c r="F329" s="0" t="s">
        <v>82</v>
      </c>
      <c r="G329" s="0" t="s">
        <v>40</v>
      </c>
      <c r="H329" s="0" t="s">
        <v>1965</v>
      </c>
      <c r="I329" s="0" t="s">
        <v>1966</v>
      </c>
      <c r="J329" s="0" t="s">
        <v>1967</v>
      </c>
      <c r="K329" s="0" t="s">
        <v>46</v>
      </c>
      <c r="L329" s="0" t="str">
        <f aca="false">HYPERLINK("https://www.ncbi.nlm.nih.gov/snp/rs1050338455", "rs1050338455")</f>
        <v>rs1050338455</v>
      </c>
      <c r="M329" s="0" t="str">
        <f aca="false">HYPERLINK("https://www.genecards.org/Search/Keyword?queryString=%5Baliases%5D(%20SLC10A6%20)&amp;keywords=SLC10A6", "SLC10A6")</f>
        <v>SLC10A6</v>
      </c>
      <c r="N329" s="0" t="s">
        <v>45</v>
      </c>
      <c r="O329" s="0" t="s">
        <v>46</v>
      </c>
      <c r="P329" s="0" t="s">
        <v>46</v>
      </c>
      <c r="Q329" s="0" t="n">
        <v>0.0001</v>
      </c>
      <c r="R329" s="0" t="n">
        <v>0.0001</v>
      </c>
      <c r="S329" s="0" t="n">
        <v>0.0003</v>
      </c>
      <c r="T329" s="0" t="n">
        <v>-1</v>
      </c>
      <c r="U329" s="0" t="n">
        <v>0.0004</v>
      </c>
      <c r="V329" s="0" t="s">
        <v>46</v>
      </c>
      <c r="W329" s="0" t="s">
        <v>46</v>
      </c>
      <c r="X329" s="0" t="s">
        <v>354</v>
      </c>
      <c r="Y329" s="0" t="s">
        <v>48</v>
      </c>
      <c r="Z329" s="0" t="s">
        <v>46</v>
      </c>
      <c r="AA329" s="0" t="s">
        <v>46</v>
      </c>
      <c r="AB329" s="0" t="s">
        <v>46</v>
      </c>
      <c r="AC329" s="0" t="s">
        <v>50</v>
      </c>
      <c r="AD329" s="0" t="s">
        <v>51</v>
      </c>
      <c r="AE329" s="0" t="s">
        <v>1968</v>
      </c>
      <c r="AF329" s="0" t="s">
        <v>1969</v>
      </c>
      <c r="AG329" s="0" t="s">
        <v>1970</v>
      </c>
      <c r="AH329" s="0" t="s">
        <v>46</v>
      </c>
      <c r="AI329" s="0" t="s">
        <v>46</v>
      </c>
      <c r="AJ329" s="0" t="s">
        <v>46</v>
      </c>
      <c r="AK329" s="0" t="s">
        <v>46</v>
      </c>
      <c r="AL329" s="0" t="s">
        <v>46</v>
      </c>
    </row>
    <row r="330" s="2" customFormat="true" ht="15" hidden="false" customHeight="false" outlineLevel="0" collapsed="false">
      <c r="B330" s="2" t="str">
        <f aca="false">HYPERLINK("https://genome.ucsc.edu/cgi-bin/hgTracks?db=hg19&amp;position=chr4%3A88532182%2D88532182", "chr4:88532182")</f>
        <v>chr4:88532182</v>
      </c>
      <c r="C330" s="2" t="s">
        <v>56</v>
      </c>
      <c r="D330" s="2" t="n">
        <v>88532182</v>
      </c>
      <c r="E330" s="2" t="n">
        <v>88532182</v>
      </c>
      <c r="F330" s="2" t="s">
        <v>185</v>
      </c>
      <c r="G330" s="2" t="s">
        <v>1971</v>
      </c>
      <c r="H330" s="2" t="s">
        <v>1972</v>
      </c>
      <c r="I330" s="2" t="s">
        <v>661</v>
      </c>
      <c r="J330" s="2" t="s">
        <v>1973</v>
      </c>
      <c r="K330" s="2" t="s">
        <v>46</v>
      </c>
      <c r="L330" s="2" t="s">
        <v>46</v>
      </c>
      <c r="M330" s="2" t="str">
        <f aca="false">HYPERLINK("https://www.genecards.org/Search/Keyword?queryString=%5Baliases%5D(%20DSPP%20)&amp;keywords=DSPP", "DSPP")</f>
        <v>DSPP</v>
      </c>
      <c r="N330" s="2" t="s">
        <v>306</v>
      </c>
      <c r="O330" s="2" t="s">
        <v>46</v>
      </c>
      <c r="P330" s="2" t="s">
        <v>46</v>
      </c>
      <c r="Q330" s="2" t="n">
        <v>-1</v>
      </c>
      <c r="R330" s="2" t="n">
        <v>-1</v>
      </c>
      <c r="S330" s="2" t="n">
        <v>-1</v>
      </c>
      <c r="T330" s="2" t="n">
        <v>-1</v>
      </c>
      <c r="U330" s="2" t="n">
        <v>-1</v>
      </c>
      <c r="V330" s="2" t="s">
        <v>46</v>
      </c>
      <c r="W330" s="2" t="s">
        <v>46</v>
      </c>
      <c r="X330" s="2" t="s">
        <v>46</v>
      </c>
      <c r="Y330" s="2" t="s">
        <v>46</v>
      </c>
      <c r="Z330" s="2" t="s">
        <v>46</v>
      </c>
      <c r="AA330" s="2" t="s">
        <v>46</v>
      </c>
      <c r="AB330" s="2" t="s">
        <v>46</v>
      </c>
      <c r="AC330" s="2" t="s">
        <v>254</v>
      </c>
      <c r="AD330" s="2" t="s">
        <v>51</v>
      </c>
      <c r="AE330" s="2" t="s">
        <v>1974</v>
      </c>
      <c r="AF330" s="2" t="s">
        <v>1975</v>
      </c>
      <c r="AG330" s="2" t="s">
        <v>1976</v>
      </c>
      <c r="AH330" s="2" t="s">
        <v>1977</v>
      </c>
      <c r="AI330" s="2" t="s">
        <v>46</v>
      </c>
      <c r="AJ330" s="2" t="s">
        <v>46</v>
      </c>
      <c r="AK330" s="2" t="s">
        <v>46</v>
      </c>
      <c r="AL330" s="2" t="s">
        <v>46</v>
      </c>
    </row>
    <row r="331" customFormat="false" ht="15" hidden="false" customHeight="false" outlineLevel="0" collapsed="false">
      <c r="B331" s="0" t="str">
        <f aca="false">HYPERLINK("https://genome.ucsc.edu/cgi-bin/hgTracks?db=hg19&amp;position=chr4%3A93806086%2D93806086", "chr4:93806086")</f>
        <v>chr4:93806086</v>
      </c>
      <c r="C331" s="0" t="s">
        <v>56</v>
      </c>
      <c r="D331" s="0" t="n">
        <v>93806086</v>
      </c>
      <c r="E331" s="0" t="n">
        <v>93806086</v>
      </c>
      <c r="F331" s="0" t="s">
        <v>185</v>
      </c>
      <c r="G331" s="0" t="s">
        <v>249</v>
      </c>
      <c r="H331" s="0" t="s">
        <v>914</v>
      </c>
      <c r="I331" s="0" t="s">
        <v>1003</v>
      </c>
      <c r="J331" s="0" t="s">
        <v>1978</v>
      </c>
      <c r="K331" s="0" t="s">
        <v>46</v>
      </c>
      <c r="L331" s="0" t="s">
        <v>46</v>
      </c>
      <c r="M331" s="0" t="str">
        <f aca="false">HYPERLINK("https://www.genecards.org/Search/Keyword?queryString=%5Baliases%5D(%20GRID2%20)&amp;keywords=GRID2", "GRID2")</f>
        <v>GRID2</v>
      </c>
      <c r="N331" s="0" t="s">
        <v>704</v>
      </c>
      <c r="O331" s="0" t="s">
        <v>46</v>
      </c>
      <c r="P331" s="0" t="s">
        <v>46</v>
      </c>
      <c r="Q331" s="0" t="n">
        <v>-1</v>
      </c>
      <c r="R331" s="0" t="n">
        <v>-1</v>
      </c>
      <c r="S331" s="0" t="n">
        <v>-1</v>
      </c>
      <c r="T331" s="0" t="n">
        <v>-1</v>
      </c>
      <c r="U331" s="0" t="n">
        <v>-1</v>
      </c>
      <c r="V331" s="0" t="s">
        <v>46</v>
      </c>
      <c r="W331" s="0" t="s">
        <v>46</v>
      </c>
      <c r="X331" s="0" t="s">
        <v>46</v>
      </c>
      <c r="Y331" s="0" t="s">
        <v>46</v>
      </c>
      <c r="Z331" s="0" t="s">
        <v>46</v>
      </c>
      <c r="AA331" s="0" t="s">
        <v>46</v>
      </c>
      <c r="AB331" s="0" t="s">
        <v>46</v>
      </c>
      <c r="AC331" s="0" t="s">
        <v>50</v>
      </c>
      <c r="AD331" s="0" t="s">
        <v>51</v>
      </c>
      <c r="AE331" s="0" t="s">
        <v>1979</v>
      </c>
      <c r="AF331" s="0" t="s">
        <v>1980</v>
      </c>
      <c r="AG331" s="0" t="s">
        <v>1981</v>
      </c>
      <c r="AH331" s="0" t="s">
        <v>1982</v>
      </c>
      <c r="AI331" s="0" t="s">
        <v>46</v>
      </c>
      <c r="AJ331" s="0" t="s">
        <v>46</v>
      </c>
      <c r="AK331" s="0" t="s">
        <v>46</v>
      </c>
      <c r="AL331" s="0" t="s">
        <v>46</v>
      </c>
    </row>
    <row r="332" customFormat="false" ht="15" hidden="false" customHeight="false" outlineLevel="0" collapsed="false">
      <c r="B332" s="0" t="str">
        <f aca="false">HYPERLINK("https://genome.ucsc.edu/cgi-bin/hgTracks?db=hg19&amp;position=chr4%3A100544440%2D100544440", "chr4:100544440")</f>
        <v>chr4:100544440</v>
      </c>
      <c r="C332" s="0" t="s">
        <v>56</v>
      </c>
      <c r="D332" s="0" t="n">
        <v>100544440</v>
      </c>
      <c r="E332" s="0" t="n">
        <v>100544440</v>
      </c>
      <c r="F332" s="0" t="s">
        <v>185</v>
      </c>
      <c r="G332" s="0" t="s">
        <v>249</v>
      </c>
      <c r="H332" s="0" t="s">
        <v>1983</v>
      </c>
      <c r="I332" s="0" t="s">
        <v>367</v>
      </c>
      <c r="J332" s="0" t="s">
        <v>1984</v>
      </c>
      <c r="K332" s="0" t="s">
        <v>46</v>
      </c>
      <c r="L332" s="0" t="s">
        <v>46</v>
      </c>
      <c r="M332" s="0" t="str">
        <f aca="false">HYPERLINK("https://www.genecards.org/Search/Keyword?queryString=%5Baliases%5D(%20MTTP%20)&amp;keywords=MTTP", "MTTP")</f>
        <v>MTTP</v>
      </c>
      <c r="N332" s="0" t="s">
        <v>208</v>
      </c>
      <c r="O332" s="0" t="s">
        <v>46</v>
      </c>
      <c r="P332" s="0" t="s">
        <v>1985</v>
      </c>
      <c r="Q332" s="0" t="n">
        <v>3.84E-005</v>
      </c>
      <c r="R332" s="0" t="n">
        <v>-1</v>
      </c>
      <c r="S332" s="0" t="n">
        <v>-1</v>
      </c>
      <c r="T332" s="0" t="n">
        <v>-1</v>
      </c>
      <c r="U332" s="0" t="n">
        <v>-1</v>
      </c>
      <c r="V332" s="0" t="s">
        <v>46</v>
      </c>
      <c r="W332" s="0" t="s">
        <v>46</v>
      </c>
      <c r="X332" s="0" t="s">
        <v>46</v>
      </c>
      <c r="Y332" s="0" t="s">
        <v>46</v>
      </c>
      <c r="Z332" s="0" t="s">
        <v>46</v>
      </c>
      <c r="AA332" s="0" t="s">
        <v>46</v>
      </c>
      <c r="AB332" s="0" t="s">
        <v>46</v>
      </c>
      <c r="AC332" s="0" t="s">
        <v>50</v>
      </c>
      <c r="AD332" s="0" t="s">
        <v>51</v>
      </c>
      <c r="AE332" s="0" t="s">
        <v>1986</v>
      </c>
      <c r="AF332" s="0" t="s">
        <v>1987</v>
      </c>
      <c r="AG332" s="0" t="s">
        <v>1988</v>
      </c>
      <c r="AH332" s="0" t="s">
        <v>1989</v>
      </c>
      <c r="AI332" s="0" t="s">
        <v>46</v>
      </c>
      <c r="AJ332" s="0" t="s">
        <v>46</v>
      </c>
      <c r="AK332" s="0" t="s">
        <v>46</v>
      </c>
      <c r="AL332" s="0" t="s">
        <v>46</v>
      </c>
    </row>
    <row r="333" customFormat="false" ht="15" hidden="false" customHeight="false" outlineLevel="0" collapsed="false">
      <c r="B333" s="0" t="str">
        <f aca="false">HYPERLINK("https://genome.ucsc.edu/cgi-bin/hgTracks?db=hg19&amp;position=chr4%3A103826631%2D103826631", "chr4:103826631")</f>
        <v>chr4:103826631</v>
      </c>
      <c r="C333" s="0" t="s">
        <v>56</v>
      </c>
      <c r="D333" s="0" t="n">
        <v>103826631</v>
      </c>
      <c r="E333" s="0" t="n">
        <v>103826631</v>
      </c>
      <c r="F333" s="0" t="s">
        <v>57</v>
      </c>
      <c r="G333" s="0" t="s">
        <v>82</v>
      </c>
      <c r="H333" s="0" t="s">
        <v>1990</v>
      </c>
      <c r="I333" s="0" t="s">
        <v>574</v>
      </c>
      <c r="J333" s="0" t="s">
        <v>1991</v>
      </c>
      <c r="K333" s="0" t="s">
        <v>46</v>
      </c>
      <c r="L333" s="0" t="s">
        <v>46</v>
      </c>
      <c r="M333" s="0" t="str">
        <f aca="false">HYPERLINK("https://www.genecards.org/Search/Keyword?queryString=%5Baliases%5D(%20SLC9B1%20)&amp;keywords=SLC9B1", "SLC9B1")</f>
        <v>SLC9B1</v>
      </c>
      <c r="N333" s="0" t="s">
        <v>45</v>
      </c>
      <c r="O333" s="0" t="s">
        <v>46</v>
      </c>
      <c r="P333" s="0" t="s">
        <v>46</v>
      </c>
      <c r="Q333" s="0" t="n">
        <v>0.0141</v>
      </c>
      <c r="R333" s="0" t="n">
        <v>0.0007</v>
      </c>
      <c r="S333" s="0" t="n">
        <v>0.0007</v>
      </c>
      <c r="T333" s="0" t="n">
        <v>-1</v>
      </c>
      <c r="U333" s="0" t="n">
        <v>-1</v>
      </c>
      <c r="V333" s="0" t="s">
        <v>46</v>
      </c>
      <c r="W333" s="0" t="s">
        <v>46</v>
      </c>
      <c r="X333" s="0" t="s">
        <v>47</v>
      </c>
      <c r="Y333" s="0" t="s">
        <v>48</v>
      </c>
      <c r="Z333" s="0" t="s">
        <v>46</v>
      </c>
      <c r="AA333" s="0" t="s">
        <v>46</v>
      </c>
      <c r="AB333" s="0" t="s">
        <v>46</v>
      </c>
      <c r="AC333" s="0" t="s">
        <v>50</v>
      </c>
      <c r="AD333" s="0" t="s">
        <v>385</v>
      </c>
      <c r="AE333" s="0" t="s">
        <v>485</v>
      </c>
      <c r="AF333" s="0" t="s">
        <v>486</v>
      </c>
      <c r="AG333" s="0" t="s">
        <v>46</v>
      </c>
      <c r="AH333" s="0" t="s">
        <v>46</v>
      </c>
      <c r="AI333" s="0" t="s">
        <v>46</v>
      </c>
      <c r="AJ333" s="0" t="s">
        <v>46</v>
      </c>
      <c r="AK333" s="0" t="s">
        <v>46</v>
      </c>
      <c r="AL333" s="0" t="s">
        <v>487</v>
      </c>
    </row>
    <row r="334" customFormat="false" ht="15" hidden="false" customHeight="false" outlineLevel="0" collapsed="false">
      <c r="B334" s="0" t="str">
        <f aca="false">HYPERLINK("https://genome.ucsc.edu/cgi-bin/hgTracks?db=hg19&amp;position=chr4%3A103826666%2D103826666", "chr4:103826666")</f>
        <v>chr4:103826666</v>
      </c>
      <c r="C334" s="0" t="s">
        <v>56</v>
      </c>
      <c r="D334" s="0" t="n">
        <v>103826666</v>
      </c>
      <c r="E334" s="0" t="n">
        <v>103826666</v>
      </c>
      <c r="F334" s="0" t="s">
        <v>40</v>
      </c>
      <c r="G334" s="0" t="s">
        <v>82</v>
      </c>
      <c r="H334" s="0" t="s">
        <v>1378</v>
      </c>
      <c r="I334" s="0" t="s">
        <v>595</v>
      </c>
      <c r="J334" s="0" t="s">
        <v>1992</v>
      </c>
      <c r="K334" s="0" t="s">
        <v>46</v>
      </c>
      <c r="L334" s="0" t="s">
        <v>46</v>
      </c>
      <c r="M334" s="0" t="str">
        <f aca="false">HYPERLINK("https://www.genecards.org/Search/Keyword?queryString=%5Baliases%5D(%20SLC9B1%20)&amp;keywords=SLC9B1", "SLC9B1")</f>
        <v>SLC9B1</v>
      </c>
      <c r="N334" s="0" t="s">
        <v>45</v>
      </c>
      <c r="O334" s="0" t="s">
        <v>46</v>
      </c>
      <c r="P334" s="0" t="s">
        <v>46</v>
      </c>
      <c r="Q334" s="0" t="n">
        <v>0.0086</v>
      </c>
      <c r="R334" s="0" t="n">
        <v>0.0013</v>
      </c>
      <c r="S334" s="0" t="n">
        <v>0.0019</v>
      </c>
      <c r="T334" s="0" t="n">
        <v>-1</v>
      </c>
      <c r="U334" s="0" t="n">
        <v>0.0002</v>
      </c>
      <c r="V334" s="0" t="s">
        <v>46</v>
      </c>
      <c r="W334" s="0" t="s">
        <v>82</v>
      </c>
      <c r="X334" s="0" t="s">
        <v>47</v>
      </c>
      <c r="Y334" s="0" t="s">
        <v>200</v>
      </c>
      <c r="Z334" s="0" t="s">
        <v>46</v>
      </c>
      <c r="AA334" s="0" t="s">
        <v>46</v>
      </c>
      <c r="AB334" s="0" t="s">
        <v>46</v>
      </c>
      <c r="AC334" s="0" t="s">
        <v>50</v>
      </c>
      <c r="AD334" s="0" t="s">
        <v>385</v>
      </c>
      <c r="AE334" s="0" t="s">
        <v>485</v>
      </c>
      <c r="AF334" s="0" t="s">
        <v>486</v>
      </c>
      <c r="AG334" s="0" t="s">
        <v>46</v>
      </c>
      <c r="AH334" s="0" t="s">
        <v>46</v>
      </c>
      <c r="AI334" s="0" t="s">
        <v>46</v>
      </c>
      <c r="AJ334" s="0" t="s">
        <v>46</v>
      </c>
      <c r="AK334" s="0" t="s">
        <v>46</v>
      </c>
      <c r="AL334" s="0" t="s">
        <v>487</v>
      </c>
    </row>
    <row r="335" customFormat="false" ht="15" hidden="false" customHeight="false" outlineLevel="0" collapsed="false">
      <c r="B335" s="0" t="str">
        <f aca="false">HYPERLINK("https://genome.ucsc.edu/cgi-bin/hgTracks?db=hg19&amp;position=chr4%3A109863602%2D109863602", "chr4:109863602")</f>
        <v>chr4:109863602</v>
      </c>
      <c r="C335" s="0" t="s">
        <v>56</v>
      </c>
      <c r="D335" s="0" t="n">
        <v>109863602</v>
      </c>
      <c r="E335" s="0" t="n">
        <v>109863602</v>
      </c>
      <c r="F335" s="0" t="s">
        <v>82</v>
      </c>
      <c r="G335" s="0" t="s">
        <v>40</v>
      </c>
      <c r="H335" s="0" t="s">
        <v>1993</v>
      </c>
      <c r="I335" s="0" t="s">
        <v>725</v>
      </c>
      <c r="J335" s="0" t="s">
        <v>1994</v>
      </c>
      <c r="K335" s="0" t="s">
        <v>46</v>
      </c>
      <c r="L335" s="0" t="str">
        <f aca="false">HYPERLINK("https://www.ncbi.nlm.nih.gov/snp/rs548684151", "rs548684151")</f>
        <v>rs548684151</v>
      </c>
      <c r="M335" s="0" t="str">
        <f aca="false">HYPERLINK("https://www.genecards.org/Search/Keyword?queryString=%5Baliases%5D(%20COL25A1%20)&amp;keywords=COL25A1", "COL25A1")</f>
        <v>COL25A1</v>
      </c>
      <c r="N335" s="0" t="s">
        <v>45</v>
      </c>
      <c r="O335" s="0" t="s">
        <v>46</v>
      </c>
      <c r="P335" s="0" t="s">
        <v>46</v>
      </c>
      <c r="Q335" s="0" t="n">
        <v>0.0023</v>
      </c>
      <c r="R335" s="0" t="n">
        <v>0.0024</v>
      </c>
      <c r="S335" s="0" t="n">
        <v>0.0027</v>
      </c>
      <c r="T335" s="0" t="n">
        <v>-1</v>
      </c>
      <c r="U335" s="0" t="n">
        <v>0.0026</v>
      </c>
      <c r="V335" s="0" t="s">
        <v>46</v>
      </c>
      <c r="W335" s="0" t="s">
        <v>46</v>
      </c>
      <c r="X335" s="0" t="s">
        <v>47</v>
      </c>
      <c r="Y335" s="0" t="s">
        <v>48</v>
      </c>
      <c r="Z335" s="0" t="s">
        <v>46</v>
      </c>
      <c r="AA335" s="0" t="s">
        <v>46</v>
      </c>
      <c r="AB335" s="0" t="s">
        <v>46</v>
      </c>
      <c r="AC335" s="0" t="s">
        <v>50</v>
      </c>
      <c r="AD335" s="0" t="s">
        <v>51</v>
      </c>
      <c r="AE335" s="0" t="s">
        <v>1995</v>
      </c>
      <c r="AF335" s="0" t="s">
        <v>1996</v>
      </c>
      <c r="AG335" s="0" t="s">
        <v>1997</v>
      </c>
      <c r="AH335" s="0" t="s">
        <v>1998</v>
      </c>
      <c r="AI335" s="0" t="s">
        <v>46</v>
      </c>
      <c r="AJ335" s="0" t="s">
        <v>46</v>
      </c>
      <c r="AK335" s="0" t="s">
        <v>46</v>
      </c>
      <c r="AL335" s="0" t="s">
        <v>46</v>
      </c>
    </row>
    <row r="336" customFormat="false" ht="15" hidden="false" customHeight="false" outlineLevel="0" collapsed="false">
      <c r="B336" s="0" t="str">
        <f aca="false">HYPERLINK("https://genome.ucsc.edu/cgi-bin/hgTracks?db=hg19&amp;position=chr4%3A114260266%2D114260266", "chr4:114260266")</f>
        <v>chr4:114260266</v>
      </c>
      <c r="C336" s="0" t="s">
        <v>56</v>
      </c>
      <c r="D336" s="0" t="n">
        <v>114260266</v>
      </c>
      <c r="E336" s="0" t="n">
        <v>114260266</v>
      </c>
      <c r="F336" s="0" t="s">
        <v>57</v>
      </c>
      <c r="G336" s="0" t="s">
        <v>39</v>
      </c>
      <c r="H336" s="0" t="s">
        <v>1999</v>
      </c>
      <c r="I336" s="0" t="s">
        <v>164</v>
      </c>
      <c r="J336" s="0" t="s">
        <v>2000</v>
      </c>
      <c r="K336" s="0" t="s">
        <v>46</v>
      </c>
      <c r="L336" s="0" t="str">
        <f aca="false">HYPERLINK("https://www.ncbi.nlm.nih.gov/snp/rs374868875", "rs374868875")</f>
        <v>rs374868875</v>
      </c>
      <c r="M336" s="0" t="str">
        <f aca="false">HYPERLINK("https://www.genecards.org/Search/Keyword?queryString=%5Baliases%5D(%20ANK2%20)&amp;keywords=ANK2", "ANK2")</f>
        <v>ANK2</v>
      </c>
      <c r="N336" s="0" t="s">
        <v>45</v>
      </c>
      <c r="O336" s="0" t="s">
        <v>46</v>
      </c>
      <c r="P336" s="0" t="s">
        <v>46</v>
      </c>
      <c r="Q336" s="0" t="n">
        <v>0.0023</v>
      </c>
      <c r="R336" s="0" t="n">
        <v>0.0018</v>
      </c>
      <c r="S336" s="0" t="n">
        <v>0.0024</v>
      </c>
      <c r="T336" s="0" t="n">
        <v>-1</v>
      </c>
      <c r="U336" s="0" t="n">
        <v>0.0027</v>
      </c>
      <c r="V336" s="0" t="s">
        <v>46</v>
      </c>
      <c r="W336" s="0" t="s">
        <v>46</v>
      </c>
      <c r="X336" s="0" t="s">
        <v>354</v>
      </c>
      <c r="Y336" s="0" t="s">
        <v>48</v>
      </c>
      <c r="Z336" s="0" t="s">
        <v>46</v>
      </c>
      <c r="AA336" s="0" t="s">
        <v>46</v>
      </c>
      <c r="AB336" s="0" t="s">
        <v>46</v>
      </c>
      <c r="AC336" s="0" t="s">
        <v>50</v>
      </c>
      <c r="AD336" s="0" t="s">
        <v>51</v>
      </c>
      <c r="AE336" s="0" t="s">
        <v>2001</v>
      </c>
      <c r="AF336" s="0" t="s">
        <v>2002</v>
      </c>
      <c r="AG336" s="0" t="s">
        <v>2003</v>
      </c>
      <c r="AH336" s="0" t="s">
        <v>2004</v>
      </c>
      <c r="AI336" s="0" t="s">
        <v>46</v>
      </c>
      <c r="AJ336" s="0" t="s">
        <v>46</v>
      </c>
      <c r="AK336" s="0" t="s">
        <v>46</v>
      </c>
      <c r="AL336" s="0" t="s">
        <v>46</v>
      </c>
    </row>
    <row r="337" customFormat="false" ht="15" hidden="false" customHeight="false" outlineLevel="0" collapsed="false">
      <c r="B337" s="0" t="str">
        <f aca="false">HYPERLINK("https://genome.ucsc.edu/cgi-bin/hgTracks?db=hg19&amp;position=chr4%3A177248188%2D177248188", "chr4:177248188")</f>
        <v>chr4:177248188</v>
      </c>
      <c r="C337" s="0" t="s">
        <v>56</v>
      </c>
      <c r="D337" s="0" t="n">
        <v>177248188</v>
      </c>
      <c r="E337" s="0" t="n">
        <v>177248188</v>
      </c>
      <c r="F337" s="0" t="s">
        <v>82</v>
      </c>
      <c r="G337" s="0" t="s">
        <v>39</v>
      </c>
      <c r="H337" s="0" t="s">
        <v>2005</v>
      </c>
      <c r="I337" s="0" t="s">
        <v>278</v>
      </c>
      <c r="J337" s="0" t="s">
        <v>2006</v>
      </c>
      <c r="K337" s="0" t="s">
        <v>46</v>
      </c>
      <c r="L337" s="0" t="str">
        <f aca="false">HYPERLINK("https://www.ncbi.nlm.nih.gov/snp/rs577448670", "rs577448670")</f>
        <v>rs577448670</v>
      </c>
      <c r="M337" s="0" t="str">
        <f aca="false">HYPERLINK("https://www.genecards.org/Search/Keyword?queryString=%5Baliases%5D(%20SPCS3%20)&amp;keywords=SPCS3", "SPCS3")</f>
        <v>SPCS3</v>
      </c>
      <c r="N337" s="0" t="s">
        <v>45</v>
      </c>
      <c r="O337" s="0" t="s">
        <v>46</v>
      </c>
      <c r="P337" s="0" t="s">
        <v>46</v>
      </c>
      <c r="Q337" s="0" t="n">
        <v>0.0041</v>
      </c>
      <c r="R337" s="0" t="n">
        <v>0.0002</v>
      </c>
      <c r="S337" s="0" t="n">
        <v>0.0002</v>
      </c>
      <c r="T337" s="0" t="n">
        <v>-1</v>
      </c>
      <c r="U337" s="0" t="n">
        <v>0.0002</v>
      </c>
      <c r="V337" s="0" t="s">
        <v>46</v>
      </c>
      <c r="W337" s="0" t="s">
        <v>46</v>
      </c>
      <c r="X337" s="0" t="s">
        <v>354</v>
      </c>
      <c r="Y337" s="0" t="s">
        <v>48</v>
      </c>
      <c r="Z337" s="0" t="s">
        <v>46</v>
      </c>
      <c r="AA337" s="0" t="s">
        <v>46</v>
      </c>
      <c r="AB337" s="0" t="s">
        <v>46</v>
      </c>
      <c r="AC337" s="0" t="s">
        <v>50</v>
      </c>
      <c r="AD337" s="0" t="s">
        <v>51</v>
      </c>
      <c r="AE337" s="0" t="s">
        <v>2007</v>
      </c>
      <c r="AF337" s="0" t="s">
        <v>2008</v>
      </c>
      <c r="AG337" s="0" t="s">
        <v>2009</v>
      </c>
      <c r="AH337" s="0" t="s">
        <v>46</v>
      </c>
      <c r="AI337" s="0" t="s">
        <v>46</v>
      </c>
      <c r="AJ337" s="0" t="s">
        <v>46</v>
      </c>
      <c r="AK337" s="0" t="s">
        <v>46</v>
      </c>
      <c r="AL337" s="0" t="s">
        <v>46</v>
      </c>
    </row>
    <row r="338" customFormat="false" ht="15" hidden="false" customHeight="false" outlineLevel="0" collapsed="false">
      <c r="B338" s="0" t="str">
        <f aca="false">HYPERLINK("https://genome.ucsc.edu/cgi-bin/hgTracks?db=hg19&amp;position=chr4%3A187197721%2D187197721", "chr4:187197721")</f>
        <v>chr4:187197721</v>
      </c>
      <c r="C338" s="0" t="s">
        <v>56</v>
      </c>
      <c r="D338" s="0" t="n">
        <v>187197721</v>
      </c>
      <c r="E338" s="0" t="n">
        <v>187197721</v>
      </c>
      <c r="F338" s="0" t="s">
        <v>57</v>
      </c>
      <c r="G338" s="0" t="s">
        <v>39</v>
      </c>
      <c r="H338" s="0" t="s">
        <v>1993</v>
      </c>
      <c r="I338" s="0" t="s">
        <v>1018</v>
      </c>
      <c r="J338" s="0" t="s">
        <v>2010</v>
      </c>
      <c r="K338" s="0" t="s">
        <v>46</v>
      </c>
      <c r="L338" s="0" t="str">
        <f aca="false">HYPERLINK("https://www.ncbi.nlm.nih.gov/snp/rs192905076", "rs192905076")</f>
        <v>rs192905076</v>
      </c>
      <c r="M338" s="0" t="str">
        <f aca="false">HYPERLINK("https://www.genecards.org/Search/Keyword?queryString=%5Baliases%5D(%20F11%20)&amp;keywords=F11", "F11")</f>
        <v>F11</v>
      </c>
      <c r="N338" s="0" t="s">
        <v>45</v>
      </c>
      <c r="O338" s="0" t="s">
        <v>46</v>
      </c>
      <c r="P338" s="0" t="s">
        <v>46</v>
      </c>
      <c r="Q338" s="0" t="n">
        <v>0.003</v>
      </c>
      <c r="R338" s="0" t="n">
        <v>0.0007</v>
      </c>
      <c r="S338" s="0" t="n">
        <v>0.0013</v>
      </c>
      <c r="T338" s="0" t="n">
        <v>-1</v>
      </c>
      <c r="U338" s="0" t="n">
        <v>0.0022</v>
      </c>
      <c r="V338" s="0" t="s">
        <v>46</v>
      </c>
      <c r="W338" s="0" t="s">
        <v>46</v>
      </c>
      <c r="X338" s="0" t="s">
        <v>354</v>
      </c>
      <c r="Y338" s="0" t="s">
        <v>48</v>
      </c>
      <c r="Z338" s="0" t="s">
        <v>46</v>
      </c>
      <c r="AA338" s="0" t="s">
        <v>46</v>
      </c>
      <c r="AB338" s="0" t="s">
        <v>46</v>
      </c>
      <c r="AC338" s="0" t="s">
        <v>50</v>
      </c>
      <c r="AD338" s="0" t="s">
        <v>51</v>
      </c>
      <c r="AE338" s="0" t="s">
        <v>2011</v>
      </c>
      <c r="AF338" s="0" t="s">
        <v>2012</v>
      </c>
      <c r="AG338" s="0" t="s">
        <v>2013</v>
      </c>
      <c r="AH338" s="0" t="s">
        <v>2014</v>
      </c>
      <c r="AI338" s="0" t="s">
        <v>46</v>
      </c>
      <c r="AJ338" s="0" t="s">
        <v>46</v>
      </c>
      <c r="AK338" s="0" t="s">
        <v>46</v>
      </c>
      <c r="AL338" s="0" t="s">
        <v>46</v>
      </c>
    </row>
    <row r="339" customFormat="false" ht="15" hidden="false" customHeight="false" outlineLevel="0" collapsed="false">
      <c r="B339" s="0" t="str">
        <f aca="false">HYPERLINK("https://genome.ucsc.edu/cgi-bin/hgTracks?db=hg19&amp;position=chr5%3A13886246%2D13886246", "chr5:13886246")</f>
        <v>chr5:13886246</v>
      </c>
      <c r="C339" s="0" t="s">
        <v>96</v>
      </c>
      <c r="D339" s="0" t="n">
        <v>13886246</v>
      </c>
      <c r="E339" s="0" t="n">
        <v>13886246</v>
      </c>
      <c r="F339" s="0" t="s">
        <v>57</v>
      </c>
      <c r="G339" s="0" t="s">
        <v>185</v>
      </c>
      <c r="H339" s="0" t="s">
        <v>2015</v>
      </c>
      <c r="I339" s="0" t="s">
        <v>1326</v>
      </c>
      <c r="J339" s="0" t="s">
        <v>2016</v>
      </c>
      <c r="K339" s="0" t="s">
        <v>46</v>
      </c>
      <c r="L339" s="0" t="s">
        <v>46</v>
      </c>
      <c r="M339" s="0" t="str">
        <f aca="false">HYPERLINK("https://www.genecards.org/Search/Keyword?queryString=%5Baliases%5D(%20DNAH5%20)&amp;keywords=DNAH5", "DNAH5")</f>
        <v>DNAH5</v>
      </c>
      <c r="N339" s="0" t="s">
        <v>306</v>
      </c>
      <c r="O339" s="0" t="s">
        <v>46</v>
      </c>
      <c r="P339" s="0" t="s">
        <v>46</v>
      </c>
      <c r="Q339" s="0" t="n">
        <v>-1</v>
      </c>
      <c r="R339" s="0" t="n">
        <v>-1</v>
      </c>
      <c r="S339" s="0" t="n">
        <v>-1</v>
      </c>
      <c r="T339" s="0" t="n">
        <v>-1</v>
      </c>
      <c r="U339" s="0" t="n">
        <v>-1</v>
      </c>
      <c r="V339" s="0" t="s">
        <v>46</v>
      </c>
      <c r="W339" s="0" t="s">
        <v>46</v>
      </c>
      <c r="X339" s="0" t="s">
        <v>46</v>
      </c>
      <c r="Y339" s="0" t="s">
        <v>46</v>
      </c>
      <c r="Z339" s="0" t="s">
        <v>46</v>
      </c>
      <c r="AA339" s="0" t="s">
        <v>46</v>
      </c>
      <c r="AB339" s="0" t="s">
        <v>46</v>
      </c>
      <c r="AC339" s="0" t="s">
        <v>254</v>
      </c>
      <c r="AD339" s="0" t="s">
        <v>51</v>
      </c>
      <c r="AE339" s="0" t="s">
        <v>2017</v>
      </c>
      <c r="AF339" s="0" t="s">
        <v>2018</v>
      </c>
      <c r="AG339" s="0" t="s">
        <v>2019</v>
      </c>
      <c r="AH339" s="0" t="s">
        <v>2020</v>
      </c>
      <c r="AI339" s="0" t="s">
        <v>46</v>
      </c>
      <c r="AJ339" s="0" t="s">
        <v>46</v>
      </c>
      <c r="AK339" s="0" t="s">
        <v>46</v>
      </c>
      <c r="AL339" s="0" t="s">
        <v>46</v>
      </c>
    </row>
    <row r="340" customFormat="false" ht="15" hidden="false" customHeight="false" outlineLevel="0" collapsed="false">
      <c r="B340" s="0" t="str">
        <f aca="false">HYPERLINK("https://genome.ucsc.edu/cgi-bin/hgTracks?db=hg19&amp;position=chr5%3A31421632%2D31421632", "chr5:31421632")</f>
        <v>chr5:31421632</v>
      </c>
      <c r="C340" s="0" t="s">
        <v>96</v>
      </c>
      <c r="D340" s="0" t="n">
        <v>31421632</v>
      </c>
      <c r="E340" s="0" t="n">
        <v>31421632</v>
      </c>
      <c r="F340" s="0" t="s">
        <v>40</v>
      </c>
      <c r="G340" s="0" t="s">
        <v>82</v>
      </c>
      <c r="H340" s="0" t="s">
        <v>2021</v>
      </c>
      <c r="I340" s="0" t="s">
        <v>560</v>
      </c>
      <c r="J340" s="0" t="s">
        <v>995</v>
      </c>
      <c r="K340" s="0" t="s">
        <v>46</v>
      </c>
      <c r="L340" s="0" t="str">
        <f aca="false">HYPERLINK("https://www.ncbi.nlm.nih.gov/snp/rs189918071", "rs189918071")</f>
        <v>rs189918071</v>
      </c>
      <c r="M340" s="0" t="str">
        <f aca="false">HYPERLINK("https://www.genecards.org/Search/Keyword?queryString=%5Baliases%5D(%20DROSHA%20)&amp;keywords=DROSHA", "DROSHA")</f>
        <v>DROSHA</v>
      </c>
      <c r="N340" s="0" t="s">
        <v>45</v>
      </c>
      <c r="O340" s="0" t="s">
        <v>46</v>
      </c>
      <c r="P340" s="0" t="s">
        <v>46</v>
      </c>
      <c r="Q340" s="0" t="n">
        <v>0.0029</v>
      </c>
      <c r="R340" s="0" t="n">
        <v>0.0004</v>
      </c>
      <c r="S340" s="0" t="n">
        <v>0.0001</v>
      </c>
      <c r="T340" s="0" t="n">
        <v>-1</v>
      </c>
      <c r="U340" s="0" t="n">
        <v>0.0004</v>
      </c>
      <c r="V340" s="0" t="s">
        <v>46</v>
      </c>
      <c r="W340" s="0" t="s">
        <v>46</v>
      </c>
      <c r="X340" s="0" t="s">
        <v>47</v>
      </c>
      <c r="Y340" s="0" t="s">
        <v>48</v>
      </c>
      <c r="Z340" s="0" t="s">
        <v>46</v>
      </c>
      <c r="AA340" s="0" t="s">
        <v>46</v>
      </c>
      <c r="AB340" s="0" t="s">
        <v>46</v>
      </c>
      <c r="AC340" s="0" t="s">
        <v>50</v>
      </c>
      <c r="AD340" s="0" t="s">
        <v>51</v>
      </c>
      <c r="AE340" s="0" t="s">
        <v>2022</v>
      </c>
      <c r="AF340" s="0" t="s">
        <v>2023</v>
      </c>
      <c r="AG340" s="0" t="s">
        <v>2024</v>
      </c>
      <c r="AH340" s="0" t="s">
        <v>46</v>
      </c>
      <c r="AI340" s="0" t="s">
        <v>46</v>
      </c>
      <c r="AJ340" s="0" t="s">
        <v>46</v>
      </c>
      <c r="AK340" s="0" t="s">
        <v>46</v>
      </c>
      <c r="AL340" s="0" t="s">
        <v>46</v>
      </c>
    </row>
    <row r="341" customFormat="false" ht="15" hidden="false" customHeight="false" outlineLevel="0" collapsed="false">
      <c r="B341" s="0" t="str">
        <f aca="false">HYPERLINK("https://genome.ucsc.edu/cgi-bin/hgTracks?db=hg19&amp;position=chr5%3A90103709%2D90103709", "chr5:90103709")</f>
        <v>chr5:90103709</v>
      </c>
      <c r="C341" s="0" t="s">
        <v>96</v>
      </c>
      <c r="D341" s="0" t="n">
        <v>90103709</v>
      </c>
      <c r="E341" s="0" t="n">
        <v>90103709</v>
      </c>
      <c r="F341" s="0" t="s">
        <v>39</v>
      </c>
      <c r="G341" s="0" t="s">
        <v>82</v>
      </c>
      <c r="H341" s="0" t="s">
        <v>2025</v>
      </c>
      <c r="I341" s="0" t="s">
        <v>1018</v>
      </c>
      <c r="J341" s="0" t="s">
        <v>2026</v>
      </c>
      <c r="K341" s="0" t="s">
        <v>46</v>
      </c>
      <c r="L341" s="0" t="str">
        <f aca="false">HYPERLINK("https://www.ncbi.nlm.nih.gov/snp/rs77138410", "rs77138410")</f>
        <v>rs77138410</v>
      </c>
      <c r="M341" s="0" t="str">
        <f aca="false">HYPERLINK("https://www.genecards.org/Search/Keyword?queryString=%5Baliases%5D(%20ADGRV1%20)%20OR%20%5Baliases%5D(%20GPR98%20)&amp;keywords=ADGRV1,GPR98", "ADGRV1;GPR98")</f>
        <v>ADGRV1;GPR98</v>
      </c>
      <c r="N341" s="0" t="s">
        <v>45</v>
      </c>
      <c r="O341" s="0" t="s">
        <v>46</v>
      </c>
      <c r="P341" s="0" t="s">
        <v>46</v>
      </c>
      <c r="Q341" s="0" t="n">
        <v>0.0248</v>
      </c>
      <c r="R341" s="0" t="n">
        <v>0.0194</v>
      </c>
      <c r="S341" s="0" t="n">
        <v>0.0165</v>
      </c>
      <c r="T341" s="0" t="n">
        <v>-1</v>
      </c>
      <c r="U341" s="0" t="n">
        <v>0.0242</v>
      </c>
      <c r="V341" s="0" t="s">
        <v>46</v>
      </c>
      <c r="W341" s="0" t="s">
        <v>46</v>
      </c>
      <c r="X341" s="0" t="s">
        <v>47</v>
      </c>
      <c r="Y341" s="0" t="s">
        <v>48</v>
      </c>
      <c r="Z341" s="0" t="s">
        <v>46</v>
      </c>
      <c r="AA341" s="0" t="s">
        <v>46</v>
      </c>
      <c r="AB341" s="0" t="s">
        <v>46</v>
      </c>
      <c r="AC341" s="0" t="s">
        <v>50</v>
      </c>
      <c r="AD341" s="0" t="s">
        <v>191</v>
      </c>
      <c r="AE341" s="0" t="s">
        <v>46</v>
      </c>
      <c r="AF341" s="0" t="s">
        <v>2027</v>
      </c>
      <c r="AG341" s="0" t="s">
        <v>2028</v>
      </c>
      <c r="AH341" s="0" t="s">
        <v>2029</v>
      </c>
      <c r="AI341" s="0" t="s">
        <v>46</v>
      </c>
      <c r="AJ341" s="0" t="s">
        <v>46</v>
      </c>
      <c r="AK341" s="0" t="s">
        <v>46</v>
      </c>
      <c r="AL341" s="0" t="s">
        <v>46</v>
      </c>
    </row>
    <row r="342" customFormat="false" ht="15" hidden="false" customHeight="false" outlineLevel="0" collapsed="false">
      <c r="B342" s="0" t="str">
        <f aca="false">HYPERLINK("https://genome.ucsc.edu/cgi-bin/hgTracks?db=hg19&amp;position=chr5%3A95757699%2D95757699", "chr5:95757699")</f>
        <v>chr5:95757699</v>
      </c>
      <c r="C342" s="0" t="s">
        <v>96</v>
      </c>
      <c r="D342" s="0" t="n">
        <v>95757699</v>
      </c>
      <c r="E342" s="0" t="n">
        <v>95757699</v>
      </c>
      <c r="F342" s="0" t="s">
        <v>57</v>
      </c>
      <c r="G342" s="0" t="s">
        <v>185</v>
      </c>
      <c r="H342" s="0" t="s">
        <v>2030</v>
      </c>
      <c r="I342" s="0" t="s">
        <v>671</v>
      </c>
      <c r="J342" s="0" t="s">
        <v>2031</v>
      </c>
      <c r="K342" s="0" t="s">
        <v>46</v>
      </c>
      <c r="L342" s="0" t="s">
        <v>46</v>
      </c>
      <c r="M342" s="0" t="str">
        <f aca="false">HYPERLINK("https://www.genecards.org/Search/Keyword?queryString=%5Baliases%5D(%20LOC101929710%20)%20OR%20%5Baliases%5D(%20PCSK1%20)&amp;keywords=LOC101929710,PCSK1", "LOC101929710;PCSK1")</f>
        <v>LOC101929710;PCSK1</v>
      </c>
      <c r="N342" s="0" t="s">
        <v>306</v>
      </c>
      <c r="O342" s="0" t="s">
        <v>46</v>
      </c>
      <c r="P342" s="0" t="s">
        <v>46</v>
      </c>
      <c r="Q342" s="0" t="n">
        <v>-1</v>
      </c>
      <c r="R342" s="0" t="n">
        <v>-1</v>
      </c>
      <c r="S342" s="0" t="n">
        <v>-1</v>
      </c>
      <c r="T342" s="0" t="n">
        <v>-1</v>
      </c>
      <c r="U342" s="0" t="n">
        <v>-1</v>
      </c>
      <c r="V342" s="0" t="s">
        <v>46</v>
      </c>
      <c r="W342" s="0" t="s">
        <v>46</v>
      </c>
      <c r="X342" s="0" t="s">
        <v>46</v>
      </c>
      <c r="Y342" s="0" t="s">
        <v>46</v>
      </c>
      <c r="Z342" s="0" t="s">
        <v>46</v>
      </c>
      <c r="AA342" s="0" t="s">
        <v>46</v>
      </c>
      <c r="AB342" s="0" t="s">
        <v>46</v>
      </c>
      <c r="AC342" s="0" t="s">
        <v>254</v>
      </c>
      <c r="AD342" s="0" t="s">
        <v>191</v>
      </c>
      <c r="AE342" s="0" t="s">
        <v>2032</v>
      </c>
      <c r="AF342" s="0" t="s">
        <v>2033</v>
      </c>
      <c r="AG342" s="0" t="s">
        <v>2034</v>
      </c>
      <c r="AH342" s="0" t="s">
        <v>2035</v>
      </c>
      <c r="AI342" s="0" t="s">
        <v>46</v>
      </c>
      <c r="AJ342" s="0" t="s">
        <v>46</v>
      </c>
      <c r="AK342" s="0" t="s">
        <v>46</v>
      </c>
      <c r="AL342" s="0" t="s">
        <v>46</v>
      </c>
    </row>
    <row r="343" customFormat="false" ht="15" hidden="false" customHeight="false" outlineLevel="0" collapsed="false">
      <c r="B343" s="0" t="str">
        <f aca="false">HYPERLINK("https://genome.ucsc.edu/cgi-bin/hgTracks?db=hg19&amp;position=chr5%3A150847542%2D150847542", "chr5:150847542")</f>
        <v>chr5:150847542</v>
      </c>
      <c r="C343" s="0" t="s">
        <v>96</v>
      </c>
      <c r="D343" s="0" t="n">
        <v>150847542</v>
      </c>
      <c r="E343" s="0" t="n">
        <v>150847542</v>
      </c>
      <c r="F343" s="0" t="s">
        <v>40</v>
      </c>
      <c r="G343" s="0" t="s">
        <v>82</v>
      </c>
      <c r="H343" s="0" t="s">
        <v>1519</v>
      </c>
      <c r="I343" s="0" t="s">
        <v>1883</v>
      </c>
      <c r="J343" s="0" t="s">
        <v>2036</v>
      </c>
      <c r="K343" s="0" t="s">
        <v>46</v>
      </c>
      <c r="L343" s="0" t="str">
        <f aca="false">HYPERLINK("https://www.ncbi.nlm.nih.gov/snp/rs532564403", "rs532564403")</f>
        <v>rs532564403</v>
      </c>
      <c r="M343" s="0" t="str">
        <f aca="false">HYPERLINK("https://www.genecards.org/Search/Keyword?queryString=%5Baliases%5D(%20SLC36A1%20)&amp;keywords=SLC36A1", "SLC36A1")</f>
        <v>SLC36A1</v>
      </c>
      <c r="N343" s="0" t="s">
        <v>45</v>
      </c>
      <c r="O343" s="0" t="s">
        <v>46</v>
      </c>
      <c r="P343" s="0" t="s">
        <v>46</v>
      </c>
      <c r="Q343" s="0" t="n">
        <v>0.0027</v>
      </c>
      <c r="R343" s="0" t="n">
        <v>0.0027</v>
      </c>
      <c r="S343" s="0" t="n">
        <v>0.0028</v>
      </c>
      <c r="T343" s="0" t="n">
        <v>-1</v>
      </c>
      <c r="U343" s="0" t="n">
        <v>0.0025</v>
      </c>
      <c r="V343" s="0" t="s">
        <v>46</v>
      </c>
      <c r="W343" s="0" t="s">
        <v>46</v>
      </c>
      <c r="X343" s="0" t="s">
        <v>354</v>
      </c>
      <c r="Y343" s="0" t="s">
        <v>48</v>
      </c>
      <c r="Z343" s="0" t="s">
        <v>46</v>
      </c>
      <c r="AA343" s="0" t="s">
        <v>46</v>
      </c>
      <c r="AB343" s="0" t="s">
        <v>46</v>
      </c>
      <c r="AC343" s="0" t="s">
        <v>50</v>
      </c>
      <c r="AD343" s="0" t="s">
        <v>51</v>
      </c>
      <c r="AE343" s="0" t="s">
        <v>2037</v>
      </c>
      <c r="AF343" s="0" t="s">
        <v>2038</v>
      </c>
      <c r="AG343" s="0" t="s">
        <v>2039</v>
      </c>
      <c r="AH343" s="0" t="s">
        <v>46</v>
      </c>
      <c r="AI343" s="0" t="s">
        <v>46</v>
      </c>
      <c r="AJ343" s="0" t="s">
        <v>46</v>
      </c>
      <c r="AK343" s="0" t="s">
        <v>46</v>
      </c>
      <c r="AL343" s="0" t="s">
        <v>46</v>
      </c>
    </row>
    <row r="344" customFormat="false" ht="15" hidden="false" customHeight="false" outlineLevel="0" collapsed="false">
      <c r="B344" s="0" t="str">
        <f aca="false">HYPERLINK("https://genome.ucsc.edu/cgi-bin/hgTracks?db=hg19&amp;position=chr5%3A160039988%2D160039988", "chr5:160039988")</f>
        <v>chr5:160039988</v>
      </c>
      <c r="C344" s="0" t="s">
        <v>96</v>
      </c>
      <c r="D344" s="0" t="n">
        <v>160039988</v>
      </c>
      <c r="E344" s="0" t="n">
        <v>160039988</v>
      </c>
      <c r="F344" s="0" t="s">
        <v>57</v>
      </c>
      <c r="G344" s="0" t="s">
        <v>40</v>
      </c>
      <c r="H344" s="0" t="s">
        <v>2040</v>
      </c>
      <c r="I344" s="0" t="s">
        <v>903</v>
      </c>
      <c r="J344" s="0" t="s">
        <v>2041</v>
      </c>
      <c r="K344" s="0" t="s">
        <v>46</v>
      </c>
      <c r="L344" s="0" t="str">
        <f aca="false">HYPERLINK("https://www.ncbi.nlm.nih.gov/snp/rs181160068", "rs181160068")</f>
        <v>rs181160068</v>
      </c>
      <c r="M344" s="0" t="str">
        <f aca="false">HYPERLINK("https://www.genecards.org/Search/Keyword?queryString=%5Baliases%5D(%20ATP10B%20)&amp;keywords=ATP10B", "ATP10B")</f>
        <v>ATP10B</v>
      </c>
      <c r="N344" s="0" t="s">
        <v>45</v>
      </c>
      <c r="O344" s="0" t="s">
        <v>46</v>
      </c>
      <c r="P344" s="0" t="s">
        <v>46</v>
      </c>
      <c r="Q344" s="0" t="n">
        <v>0.0172</v>
      </c>
      <c r="R344" s="0" t="n">
        <v>0.0138</v>
      </c>
      <c r="S344" s="0" t="n">
        <v>0.011</v>
      </c>
      <c r="T344" s="0" t="n">
        <v>-1</v>
      </c>
      <c r="U344" s="0" t="n">
        <v>0.0227</v>
      </c>
      <c r="V344" s="0" t="s">
        <v>46</v>
      </c>
      <c r="W344" s="0" t="s">
        <v>46</v>
      </c>
      <c r="X344" s="0" t="s">
        <v>47</v>
      </c>
      <c r="Y344" s="0" t="s">
        <v>48</v>
      </c>
      <c r="Z344" s="0" t="s">
        <v>46</v>
      </c>
      <c r="AA344" s="0" t="s">
        <v>46</v>
      </c>
      <c r="AB344" s="0" t="s">
        <v>46</v>
      </c>
      <c r="AC344" s="0" t="s">
        <v>50</v>
      </c>
      <c r="AD344" s="0" t="s">
        <v>51</v>
      </c>
      <c r="AE344" s="0" t="s">
        <v>2042</v>
      </c>
      <c r="AF344" s="0" t="s">
        <v>2043</v>
      </c>
      <c r="AG344" s="0" t="s">
        <v>2044</v>
      </c>
      <c r="AH344" s="0" t="s">
        <v>46</v>
      </c>
      <c r="AI344" s="0" t="s">
        <v>46</v>
      </c>
      <c r="AJ344" s="0" t="s">
        <v>46</v>
      </c>
      <c r="AK344" s="0" t="s">
        <v>46</v>
      </c>
      <c r="AL344" s="0" t="s">
        <v>46</v>
      </c>
    </row>
    <row r="345" customFormat="false" ht="15" hidden="false" customHeight="false" outlineLevel="0" collapsed="false">
      <c r="B345" s="0" t="str">
        <f aca="false">HYPERLINK("https://genome.ucsc.edu/cgi-bin/hgTracks?db=hg19&amp;position=chr6%3A10404690%2D10404690", "chr6:10404690")</f>
        <v>chr6:10404690</v>
      </c>
      <c r="C345" s="0" t="s">
        <v>131</v>
      </c>
      <c r="D345" s="0" t="n">
        <v>10404690</v>
      </c>
      <c r="E345" s="0" t="n">
        <v>10404690</v>
      </c>
      <c r="F345" s="0" t="s">
        <v>39</v>
      </c>
      <c r="G345" s="0" t="s">
        <v>40</v>
      </c>
      <c r="H345" s="0" t="s">
        <v>2045</v>
      </c>
      <c r="I345" s="0" t="s">
        <v>1066</v>
      </c>
      <c r="J345" s="0" t="s">
        <v>2046</v>
      </c>
      <c r="K345" s="0" t="s">
        <v>46</v>
      </c>
      <c r="L345" s="0" t="s">
        <v>46</v>
      </c>
      <c r="M345" s="0" t="str">
        <f aca="false">HYPERLINK("https://www.genecards.org/Search/Keyword?queryString=%5Baliases%5D(%20TFAP2A%20)&amp;keywords=TFAP2A", "TFAP2A")</f>
        <v>TFAP2A</v>
      </c>
      <c r="N345" s="0" t="s">
        <v>45</v>
      </c>
      <c r="O345" s="0" t="s">
        <v>46</v>
      </c>
      <c r="P345" s="0" t="s">
        <v>46</v>
      </c>
      <c r="Q345" s="0" t="n">
        <v>-1</v>
      </c>
      <c r="R345" s="0" t="n">
        <v>-1</v>
      </c>
      <c r="S345" s="0" t="n">
        <v>-1</v>
      </c>
      <c r="T345" s="0" t="n">
        <v>-1</v>
      </c>
      <c r="U345" s="0" t="n">
        <v>-1</v>
      </c>
      <c r="V345" s="0" t="s">
        <v>46</v>
      </c>
      <c r="W345" s="0" t="s">
        <v>46</v>
      </c>
      <c r="X345" s="0" t="s">
        <v>47</v>
      </c>
      <c r="Y345" s="0" t="s">
        <v>48</v>
      </c>
      <c r="Z345" s="0" t="s">
        <v>46</v>
      </c>
      <c r="AA345" s="0" t="s">
        <v>46</v>
      </c>
      <c r="AB345" s="0" t="s">
        <v>46</v>
      </c>
      <c r="AC345" s="0" t="s">
        <v>50</v>
      </c>
      <c r="AD345" s="0" t="s">
        <v>51</v>
      </c>
      <c r="AE345" s="0" t="s">
        <v>2047</v>
      </c>
      <c r="AF345" s="0" t="s">
        <v>2048</v>
      </c>
      <c r="AG345" s="0" t="s">
        <v>2049</v>
      </c>
      <c r="AH345" s="0" t="s">
        <v>2050</v>
      </c>
      <c r="AI345" s="0" t="s">
        <v>46</v>
      </c>
      <c r="AJ345" s="0" t="s">
        <v>46</v>
      </c>
      <c r="AK345" s="0" t="s">
        <v>46</v>
      </c>
      <c r="AL345" s="0" t="s">
        <v>46</v>
      </c>
    </row>
    <row r="346" customFormat="false" ht="15" hidden="false" customHeight="false" outlineLevel="0" collapsed="false">
      <c r="B346" s="0" t="str">
        <f aca="false">HYPERLINK("https://genome.ucsc.edu/cgi-bin/hgTracks?db=hg19&amp;position=chr6%3A17633077%2D17633077", "chr6:17633077")</f>
        <v>chr6:17633077</v>
      </c>
      <c r="C346" s="0" t="s">
        <v>131</v>
      </c>
      <c r="D346" s="0" t="n">
        <v>17633077</v>
      </c>
      <c r="E346" s="0" t="n">
        <v>17633077</v>
      </c>
      <c r="F346" s="0" t="s">
        <v>185</v>
      </c>
      <c r="G346" s="0" t="s">
        <v>1340</v>
      </c>
      <c r="H346" s="0" t="s">
        <v>2051</v>
      </c>
      <c r="I346" s="0" t="s">
        <v>329</v>
      </c>
      <c r="J346" s="0" t="s">
        <v>2052</v>
      </c>
      <c r="K346" s="0" t="s">
        <v>46</v>
      </c>
      <c r="L346" s="0" t="s">
        <v>46</v>
      </c>
      <c r="M346" s="0" t="str">
        <f aca="false">HYPERLINK("https://www.genecards.org/Search/Keyword?queryString=%5Baliases%5D(%20NUP153%20)&amp;keywords=NUP153", "NUP153")</f>
        <v>NUP153</v>
      </c>
      <c r="N346" s="0" t="s">
        <v>602</v>
      </c>
      <c r="O346" s="0" t="s">
        <v>46</v>
      </c>
      <c r="P346" s="0" t="s">
        <v>2053</v>
      </c>
      <c r="Q346" s="0" t="n">
        <v>0.0251</v>
      </c>
      <c r="R346" s="0" t="n">
        <v>0.025</v>
      </c>
      <c r="S346" s="0" t="n">
        <v>0.0277</v>
      </c>
      <c r="T346" s="0" t="n">
        <v>-1</v>
      </c>
      <c r="U346" s="0" t="n">
        <v>0.0263</v>
      </c>
      <c r="V346" s="0" t="s">
        <v>46</v>
      </c>
      <c r="W346" s="0" t="s">
        <v>46</v>
      </c>
      <c r="X346" s="0" t="s">
        <v>46</v>
      </c>
      <c r="Y346" s="0" t="s">
        <v>46</v>
      </c>
      <c r="Z346" s="0" t="s">
        <v>46</v>
      </c>
      <c r="AA346" s="0" t="s">
        <v>46</v>
      </c>
      <c r="AB346" s="0" t="s">
        <v>46</v>
      </c>
      <c r="AC346" s="0" t="s">
        <v>50</v>
      </c>
      <c r="AD346" s="0" t="s">
        <v>51</v>
      </c>
      <c r="AE346" s="0" t="s">
        <v>2054</v>
      </c>
      <c r="AF346" s="0" t="s">
        <v>2055</v>
      </c>
      <c r="AG346" s="0" t="s">
        <v>2056</v>
      </c>
      <c r="AH346" s="0" t="s">
        <v>46</v>
      </c>
      <c r="AI346" s="0" t="s">
        <v>46</v>
      </c>
      <c r="AJ346" s="0" t="s">
        <v>46</v>
      </c>
      <c r="AK346" s="0" t="s">
        <v>46</v>
      </c>
      <c r="AL346" s="0" t="s">
        <v>46</v>
      </c>
    </row>
    <row r="347" customFormat="false" ht="15" hidden="false" customHeight="false" outlineLevel="0" collapsed="false">
      <c r="B347" s="0" t="str">
        <f aca="false">HYPERLINK("https://genome.ucsc.edu/cgi-bin/hgTracks?db=hg19&amp;position=chr6%3A25023219%2D25023222", "chr6:25023219")</f>
        <v>chr6:25023219</v>
      </c>
      <c r="C347" s="0" t="s">
        <v>131</v>
      </c>
      <c r="D347" s="0" t="n">
        <v>25023219</v>
      </c>
      <c r="E347" s="0" t="n">
        <v>25023222</v>
      </c>
      <c r="F347" s="0" t="s">
        <v>2057</v>
      </c>
      <c r="G347" s="0" t="s">
        <v>185</v>
      </c>
      <c r="H347" s="0" t="s">
        <v>2058</v>
      </c>
      <c r="I347" s="0" t="s">
        <v>1136</v>
      </c>
      <c r="J347" s="0" t="s">
        <v>2059</v>
      </c>
      <c r="K347" s="0" t="s">
        <v>46</v>
      </c>
      <c r="L347" s="0" t="str">
        <f aca="false">HYPERLINK("https://www.ncbi.nlm.nih.gov/snp/rs138375137", "rs138375137")</f>
        <v>rs138375137</v>
      </c>
      <c r="M347" s="0" t="str">
        <f aca="false">HYPERLINK("https://www.genecards.org/Search/Keyword?queryString=%5Baliases%5D(%20FAM65B%20)%20OR%20%5Baliases%5D(%20RIPOR2%20)&amp;keywords=FAM65B,RIPOR2", "FAM65B;RIPOR2")</f>
        <v>FAM65B;RIPOR2</v>
      </c>
      <c r="N347" s="0" t="s">
        <v>306</v>
      </c>
      <c r="O347" s="0" t="s">
        <v>46</v>
      </c>
      <c r="P347" s="0" t="s">
        <v>46</v>
      </c>
      <c r="Q347" s="0" t="n">
        <v>0.0187</v>
      </c>
      <c r="R347" s="0" t="n">
        <v>0.019</v>
      </c>
      <c r="S347" s="0" t="n">
        <v>0.0186</v>
      </c>
      <c r="T347" s="0" t="n">
        <v>-1</v>
      </c>
      <c r="U347" s="0" t="n">
        <v>0.0219</v>
      </c>
      <c r="V347" s="0" t="s">
        <v>46</v>
      </c>
      <c r="W347" s="0" t="s">
        <v>46</v>
      </c>
      <c r="X347" s="0" t="s">
        <v>46</v>
      </c>
      <c r="Y347" s="0" t="s">
        <v>46</v>
      </c>
      <c r="Z347" s="0" t="s">
        <v>46</v>
      </c>
      <c r="AA347" s="0" t="s">
        <v>46</v>
      </c>
      <c r="AB347" s="0" t="s">
        <v>46</v>
      </c>
      <c r="AC347" s="0" t="s">
        <v>50</v>
      </c>
      <c r="AD347" s="0" t="s">
        <v>576</v>
      </c>
      <c r="AE347" s="0" t="s">
        <v>2060</v>
      </c>
      <c r="AF347" s="0" t="s">
        <v>2061</v>
      </c>
      <c r="AG347" s="0" t="s">
        <v>2062</v>
      </c>
      <c r="AH347" s="0" t="s">
        <v>2063</v>
      </c>
      <c r="AI347" s="0" t="s">
        <v>46</v>
      </c>
      <c r="AJ347" s="0" t="s">
        <v>46</v>
      </c>
      <c r="AK347" s="0" t="s">
        <v>46</v>
      </c>
      <c r="AL347" s="0" t="s">
        <v>46</v>
      </c>
    </row>
    <row r="348" customFormat="false" ht="15" hidden="false" customHeight="false" outlineLevel="0" collapsed="false">
      <c r="B348" s="0" t="str">
        <f aca="false">HYPERLINK("https://genome.ucsc.edu/cgi-bin/hgTracks?db=hg19&amp;position=chr6%3A25041988%2D25041990", "chr6:25041988")</f>
        <v>chr6:25041988</v>
      </c>
      <c r="C348" s="0" t="s">
        <v>131</v>
      </c>
      <c r="D348" s="0" t="n">
        <v>25041988</v>
      </c>
      <c r="E348" s="0" t="n">
        <v>25041990</v>
      </c>
      <c r="F348" s="0" t="s">
        <v>2064</v>
      </c>
      <c r="G348" s="0" t="s">
        <v>185</v>
      </c>
      <c r="H348" s="0" t="s">
        <v>2065</v>
      </c>
      <c r="I348" s="0" t="s">
        <v>1136</v>
      </c>
      <c r="J348" s="0" t="s">
        <v>2066</v>
      </c>
      <c r="K348" s="0" t="s">
        <v>46</v>
      </c>
      <c r="L348" s="0" t="str">
        <f aca="false">HYPERLINK("https://www.ncbi.nlm.nih.gov/snp/rs552778594", "rs552778594")</f>
        <v>rs552778594</v>
      </c>
      <c r="M348" s="0" t="str">
        <f aca="false">HYPERLINK("https://www.genecards.org/Search/Keyword?queryString=%5Baliases%5D(%20FAM65B%20)%20OR%20%5Baliases%5D(%20RIPOR2%20)&amp;keywords=FAM65B,RIPOR2", "FAM65B;RIPOR2")</f>
        <v>FAM65B;RIPOR2</v>
      </c>
      <c r="N348" s="0" t="s">
        <v>306</v>
      </c>
      <c r="O348" s="0" t="s">
        <v>46</v>
      </c>
      <c r="P348" s="0" t="s">
        <v>46</v>
      </c>
      <c r="Q348" s="0" t="n">
        <v>0.0005</v>
      </c>
      <c r="R348" s="0" t="n">
        <v>0.0005</v>
      </c>
      <c r="S348" s="0" t="n">
        <v>0.0004</v>
      </c>
      <c r="T348" s="0" t="n">
        <v>-1</v>
      </c>
      <c r="U348" s="0" t="n">
        <v>0.0005</v>
      </c>
      <c r="V348" s="0" t="s">
        <v>46</v>
      </c>
      <c r="W348" s="0" t="s">
        <v>46</v>
      </c>
      <c r="X348" s="0" t="s">
        <v>46</v>
      </c>
      <c r="Y348" s="0" t="s">
        <v>46</v>
      </c>
      <c r="Z348" s="0" t="s">
        <v>46</v>
      </c>
      <c r="AA348" s="0" t="s">
        <v>46</v>
      </c>
      <c r="AB348" s="0" t="s">
        <v>46</v>
      </c>
      <c r="AC348" s="0" t="s">
        <v>50</v>
      </c>
      <c r="AD348" s="0" t="s">
        <v>576</v>
      </c>
      <c r="AE348" s="0" t="s">
        <v>2060</v>
      </c>
      <c r="AF348" s="0" t="s">
        <v>2061</v>
      </c>
      <c r="AG348" s="0" t="s">
        <v>2062</v>
      </c>
      <c r="AH348" s="0" t="s">
        <v>2063</v>
      </c>
      <c r="AI348" s="0" t="s">
        <v>46</v>
      </c>
      <c r="AJ348" s="0" t="s">
        <v>46</v>
      </c>
      <c r="AK348" s="0" t="s">
        <v>46</v>
      </c>
      <c r="AL348" s="0" t="s">
        <v>46</v>
      </c>
    </row>
    <row r="349" customFormat="false" ht="15" hidden="false" customHeight="false" outlineLevel="0" collapsed="false">
      <c r="B349" s="0" t="str">
        <f aca="false">HYPERLINK("https://genome.ucsc.edu/cgi-bin/hgTracks?db=hg19&amp;position=chr6%3A25661963%2D25661963", "chr6:25661963")</f>
        <v>chr6:25661963</v>
      </c>
      <c r="C349" s="0" t="s">
        <v>131</v>
      </c>
      <c r="D349" s="0" t="n">
        <v>25661963</v>
      </c>
      <c r="E349" s="0" t="n">
        <v>25661963</v>
      </c>
      <c r="F349" s="0" t="s">
        <v>57</v>
      </c>
      <c r="G349" s="0" t="s">
        <v>39</v>
      </c>
      <c r="H349" s="0" t="s">
        <v>2067</v>
      </c>
      <c r="I349" s="0" t="s">
        <v>1063</v>
      </c>
      <c r="J349" s="0" t="s">
        <v>1598</v>
      </c>
      <c r="K349" s="0" t="s">
        <v>46</v>
      </c>
      <c r="L349" s="0" t="str">
        <f aca="false">HYPERLINK("https://www.ncbi.nlm.nih.gov/snp/rs149550642", "rs149550642")</f>
        <v>rs149550642</v>
      </c>
      <c r="M349" s="0" t="str">
        <f aca="false">HYPERLINK("https://www.genecards.org/Search/Keyword?queryString=%5Baliases%5D(%20SCGN%20)&amp;keywords=SCGN", "SCGN")</f>
        <v>SCGN</v>
      </c>
      <c r="N349" s="0" t="s">
        <v>45</v>
      </c>
      <c r="O349" s="0" t="s">
        <v>46</v>
      </c>
      <c r="P349" s="0" t="s">
        <v>46</v>
      </c>
      <c r="Q349" s="0" t="n">
        <v>0.0278</v>
      </c>
      <c r="R349" s="0" t="n">
        <v>0.0231</v>
      </c>
      <c r="S349" s="0" t="n">
        <v>0.0271</v>
      </c>
      <c r="T349" s="0" t="n">
        <v>-1</v>
      </c>
      <c r="U349" s="0" t="n">
        <v>0.0325</v>
      </c>
      <c r="V349" s="0" t="s">
        <v>46</v>
      </c>
      <c r="W349" s="0" t="s">
        <v>46</v>
      </c>
      <c r="X349" s="0" t="s">
        <v>47</v>
      </c>
      <c r="Y349" s="0" t="s">
        <v>48</v>
      </c>
      <c r="Z349" s="0" t="s">
        <v>46</v>
      </c>
      <c r="AA349" s="0" t="s">
        <v>46</v>
      </c>
      <c r="AB349" s="0" t="s">
        <v>46</v>
      </c>
      <c r="AC349" s="0" t="s">
        <v>50</v>
      </c>
      <c r="AD349" s="0" t="s">
        <v>51</v>
      </c>
      <c r="AE349" s="0" t="s">
        <v>2068</v>
      </c>
      <c r="AF349" s="0" t="s">
        <v>2069</v>
      </c>
      <c r="AG349" s="0" t="s">
        <v>46</v>
      </c>
      <c r="AH349" s="0" t="s">
        <v>46</v>
      </c>
      <c r="AI349" s="0" t="s">
        <v>46</v>
      </c>
      <c r="AJ349" s="0" t="s">
        <v>46</v>
      </c>
      <c r="AK349" s="0" t="s">
        <v>46</v>
      </c>
      <c r="AL349" s="0" t="s">
        <v>46</v>
      </c>
    </row>
    <row r="350" customFormat="false" ht="15" hidden="false" customHeight="false" outlineLevel="0" collapsed="false">
      <c r="B350" s="0" t="str">
        <f aca="false">HYPERLINK("https://genome.ucsc.edu/cgi-bin/hgTracks?db=hg19&amp;position=chr6%3A30076828%2D30076828", "chr6:30076828")</f>
        <v>chr6:30076828</v>
      </c>
      <c r="C350" s="0" t="s">
        <v>131</v>
      </c>
      <c r="D350" s="0" t="n">
        <v>30076828</v>
      </c>
      <c r="E350" s="0" t="n">
        <v>30076828</v>
      </c>
      <c r="F350" s="0" t="s">
        <v>57</v>
      </c>
      <c r="G350" s="0" t="s">
        <v>82</v>
      </c>
      <c r="H350" s="0" t="s">
        <v>2070</v>
      </c>
      <c r="I350" s="0" t="s">
        <v>423</v>
      </c>
      <c r="J350" s="0" t="s">
        <v>2071</v>
      </c>
      <c r="K350" s="0" t="s">
        <v>46</v>
      </c>
      <c r="L350" s="0" t="str">
        <f aca="false">HYPERLINK("https://www.ncbi.nlm.nih.gov/snp/rs115893523", "rs115893523")</f>
        <v>rs115893523</v>
      </c>
      <c r="M350" s="0" t="str">
        <f aca="false">HYPERLINK("https://www.genecards.org/Search/Keyword?queryString=%5Baliases%5D(%20TRIM31%20)%20OR%20%5Baliases%5D(%20TRIM31-AS1%20)&amp;keywords=TRIM31,TRIM31-AS1", "TRIM31;TRIM31-AS1")</f>
        <v>TRIM31;TRIM31-AS1</v>
      </c>
      <c r="N350" s="0" t="s">
        <v>306</v>
      </c>
      <c r="O350" s="0" t="s">
        <v>46</v>
      </c>
      <c r="P350" s="0" t="s">
        <v>46</v>
      </c>
      <c r="Q350" s="0" t="n">
        <v>0.0182</v>
      </c>
      <c r="R350" s="0" t="n">
        <v>0.018</v>
      </c>
      <c r="S350" s="0" t="n">
        <v>0.0176</v>
      </c>
      <c r="T350" s="0" t="n">
        <v>-1</v>
      </c>
      <c r="U350" s="0" t="n">
        <v>0.0178</v>
      </c>
      <c r="V350" s="0" t="s">
        <v>46</v>
      </c>
      <c r="W350" s="0" t="s">
        <v>82</v>
      </c>
      <c r="X350" s="0" t="s">
        <v>47</v>
      </c>
      <c r="Y350" s="0" t="s">
        <v>200</v>
      </c>
      <c r="Z350" s="0" t="s">
        <v>46</v>
      </c>
      <c r="AA350" s="0" t="s">
        <v>46</v>
      </c>
      <c r="AB350" s="0" t="s">
        <v>46</v>
      </c>
      <c r="AC350" s="0" t="s">
        <v>50</v>
      </c>
      <c r="AD350" s="0" t="s">
        <v>191</v>
      </c>
      <c r="AE350" s="0" t="s">
        <v>2072</v>
      </c>
      <c r="AF350" s="0" t="s">
        <v>2073</v>
      </c>
      <c r="AG350" s="0" t="s">
        <v>2074</v>
      </c>
      <c r="AH350" s="0" t="s">
        <v>46</v>
      </c>
      <c r="AI350" s="0" t="s">
        <v>46</v>
      </c>
      <c r="AJ350" s="0" t="s">
        <v>46</v>
      </c>
      <c r="AK350" s="0" t="s">
        <v>2075</v>
      </c>
      <c r="AL350" s="0" t="s">
        <v>46</v>
      </c>
    </row>
    <row r="351" customFormat="false" ht="15" hidden="false" customHeight="false" outlineLevel="0" collapsed="false">
      <c r="B351" s="0" t="str">
        <f aca="false">HYPERLINK("https://genome.ucsc.edu/cgi-bin/hgTracks?db=hg19&amp;position=chr6%3A31380161%2D31380161", "chr6:31380161")</f>
        <v>chr6:31380161</v>
      </c>
      <c r="C351" s="0" t="s">
        <v>131</v>
      </c>
      <c r="D351" s="0" t="n">
        <v>31380161</v>
      </c>
      <c r="E351" s="0" t="n">
        <v>31380161</v>
      </c>
      <c r="F351" s="0" t="s">
        <v>39</v>
      </c>
      <c r="G351" s="0" t="s">
        <v>1796</v>
      </c>
      <c r="H351" s="0" t="s">
        <v>2076</v>
      </c>
      <c r="I351" s="0" t="s">
        <v>84</v>
      </c>
      <c r="J351" s="0" t="s">
        <v>2077</v>
      </c>
      <c r="K351" s="0" t="s">
        <v>46</v>
      </c>
      <c r="L351" s="0" t="s">
        <v>46</v>
      </c>
      <c r="M351" s="0" t="str">
        <f aca="false">HYPERLINK("https://www.genecards.org/Search/Keyword?queryString=%5Baliases%5D(%20MICA%20)&amp;keywords=MICA", "MICA")</f>
        <v>MICA</v>
      </c>
      <c r="N351" s="0" t="s">
        <v>461</v>
      </c>
      <c r="O351" s="0" t="s">
        <v>46</v>
      </c>
      <c r="P351" s="0" t="s">
        <v>2078</v>
      </c>
      <c r="Q351" s="0" t="n">
        <v>-1</v>
      </c>
      <c r="R351" s="0" t="n">
        <v>-1</v>
      </c>
      <c r="S351" s="0" t="n">
        <v>-1</v>
      </c>
      <c r="T351" s="0" t="n">
        <v>-1</v>
      </c>
      <c r="U351" s="0" t="n">
        <v>-1</v>
      </c>
      <c r="V351" s="0" t="s">
        <v>46</v>
      </c>
      <c r="W351" s="0" t="s">
        <v>46</v>
      </c>
      <c r="X351" s="0" t="s">
        <v>46</v>
      </c>
      <c r="Y351" s="0" t="s">
        <v>46</v>
      </c>
      <c r="Z351" s="0" t="s">
        <v>46</v>
      </c>
      <c r="AA351" s="0" t="s">
        <v>46</v>
      </c>
      <c r="AB351" s="0" t="s">
        <v>46</v>
      </c>
      <c r="AC351" s="0" t="s">
        <v>254</v>
      </c>
      <c r="AD351" s="0" t="s">
        <v>51</v>
      </c>
      <c r="AE351" s="0" t="s">
        <v>2079</v>
      </c>
      <c r="AF351" s="0" t="s">
        <v>2080</v>
      </c>
      <c r="AG351" s="0" t="s">
        <v>2081</v>
      </c>
      <c r="AH351" s="0" t="s">
        <v>2082</v>
      </c>
      <c r="AI351" s="0" t="s">
        <v>46</v>
      </c>
      <c r="AJ351" s="0" t="s">
        <v>46</v>
      </c>
      <c r="AK351" s="0" t="s">
        <v>2075</v>
      </c>
      <c r="AL351" s="0" t="s">
        <v>46</v>
      </c>
    </row>
    <row r="352" customFormat="false" ht="15" hidden="false" customHeight="false" outlineLevel="0" collapsed="false">
      <c r="B352" s="0" t="str">
        <f aca="false">HYPERLINK("https://genome.ucsc.edu/cgi-bin/hgTracks?db=hg19&amp;position=chr6%3A31737347%2D31737347", "chr6:31737347")</f>
        <v>chr6:31737347</v>
      </c>
      <c r="C352" s="0" t="s">
        <v>131</v>
      </c>
      <c r="D352" s="0" t="n">
        <v>31737347</v>
      </c>
      <c r="E352" s="0" t="n">
        <v>31737347</v>
      </c>
      <c r="F352" s="0" t="s">
        <v>39</v>
      </c>
      <c r="G352" s="0" t="s">
        <v>40</v>
      </c>
      <c r="H352" s="0" t="s">
        <v>2040</v>
      </c>
      <c r="I352" s="0" t="s">
        <v>690</v>
      </c>
      <c r="J352" s="0" t="s">
        <v>2083</v>
      </c>
      <c r="K352" s="0" t="s">
        <v>46</v>
      </c>
      <c r="L352" s="0" t="str">
        <f aca="false">HYPERLINK("https://www.ncbi.nlm.nih.gov/snp/rs150209214", "rs150209214")</f>
        <v>rs150209214</v>
      </c>
      <c r="M352" s="0" t="str">
        <f aca="false">HYPERLINK("https://www.genecards.org/Search/Keyword?queryString=%5Baliases%5D(%20VWA7%20)&amp;keywords=VWA7", "VWA7")</f>
        <v>VWA7</v>
      </c>
      <c r="N352" s="0" t="s">
        <v>45</v>
      </c>
      <c r="O352" s="0" t="s">
        <v>46</v>
      </c>
      <c r="P352" s="0" t="s">
        <v>46</v>
      </c>
      <c r="Q352" s="0" t="n">
        <v>0.0086</v>
      </c>
      <c r="R352" s="0" t="n">
        <v>0.0086</v>
      </c>
      <c r="S352" s="0" t="n">
        <v>0.0089</v>
      </c>
      <c r="T352" s="0" t="n">
        <v>-1</v>
      </c>
      <c r="U352" s="0" t="n">
        <v>0.0083</v>
      </c>
      <c r="V352" s="0" t="s">
        <v>46</v>
      </c>
      <c r="W352" s="0" t="s">
        <v>46</v>
      </c>
      <c r="X352" s="0" t="s">
        <v>47</v>
      </c>
      <c r="Y352" s="0" t="s">
        <v>48</v>
      </c>
      <c r="Z352" s="0" t="s">
        <v>46</v>
      </c>
      <c r="AA352" s="0" t="s">
        <v>46</v>
      </c>
      <c r="AB352" s="0" t="s">
        <v>46</v>
      </c>
      <c r="AC352" s="0" t="s">
        <v>50</v>
      </c>
      <c r="AD352" s="0" t="s">
        <v>51</v>
      </c>
      <c r="AE352" s="0" t="s">
        <v>2084</v>
      </c>
      <c r="AF352" s="0" t="s">
        <v>2085</v>
      </c>
      <c r="AG352" s="0" t="s">
        <v>46</v>
      </c>
      <c r="AH352" s="0" t="s">
        <v>46</v>
      </c>
      <c r="AI352" s="0" t="s">
        <v>46</v>
      </c>
      <c r="AJ352" s="0" t="s">
        <v>46</v>
      </c>
      <c r="AK352" s="0" t="s">
        <v>2075</v>
      </c>
      <c r="AL352" s="0" t="s">
        <v>46</v>
      </c>
    </row>
    <row r="353" s="2" customFormat="true" ht="15" hidden="false" customHeight="false" outlineLevel="0" collapsed="false">
      <c r="B353" s="2" t="str">
        <f aca="false">HYPERLINK("https://genome.ucsc.edu/cgi-bin/hgTracks?db=hg19&amp;position=chr6%3A32552130%2D32552130", "chr6:32552130")</f>
        <v>chr6:32552130</v>
      </c>
      <c r="C353" s="2" t="s">
        <v>131</v>
      </c>
      <c r="D353" s="2" t="n">
        <v>32552130</v>
      </c>
      <c r="E353" s="2" t="n">
        <v>32552130</v>
      </c>
      <c r="F353" s="2" t="s">
        <v>40</v>
      </c>
      <c r="G353" s="2" t="s">
        <v>1796</v>
      </c>
      <c r="H353" s="2" t="s">
        <v>2086</v>
      </c>
      <c r="I353" s="2" t="s">
        <v>2087</v>
      </c>
      <c r="J353" s="2" t="s">
        <v>2088</v>
      </c>
      <c r="K353" s="2" t="s">
        <v>46</v>
      </c>
      <c r="L353" s="2" t="s">
        <v>46</v>
      </c>
      <c r="M353" s="2" t="str">
        <f aca="false">HYPERLINK("https://www.genecards.org/Search/Keyword?queryString=%5Baliases%5D(%20HLA-DRB1%20)&amp;keywords=HLA-DRB1", "HLA-DRB1")</f>
        <v>HLA-DRB1</v>
      </c>
      <c r="N353" s="2" t="s">
        <v>461</v>
      </c>
      <c r="O353" s="2" t="s">
        <v>46</v>
      </c>
      <c r="P353" s="2" t="s">
        <v>2089</v>
      </c>
      <c r="Q353" s="2" t="n">
        <v>-1</v>
      </c>
      <c r="R353" s="2" t="n">
        <v>-1</v>
      </c>
      <c r="S353" s="2" t="n">
        <v>-1</v>
      </c>
      <c r="T353" s="2" t="n">
        <v>-1</v>
      </c>
      <c r="U353" s="2" t="n">
        <v>-1</v>
      </c>
      <c r="V353" s="2" t="s">
        <v>46</v>
      </c>
      <c r="W353" s="2" t="s">
        <v>46</v>
      </c>
      <c r="X353" s="2" t="s">
        <v>46</v>
      </c>
      <c r="Y353" s="2" t="s">
        <v>46</v>
      </c>
      <c r="Z353" s="2" t="s">
        <v>46</v>
      </c>
      <c r="AA353" s="2" t="s">
        <v>46</v>
      </c>
      <c r="AB353" s="2" t="s">
        <v>46</v>
      </c>
      <c r="AC353" s="2" t="s">
        <v>254</v>
      </c>
      <c r="AD353" s="2" t="s">
        <v>147</v>
      </c>
      <c r="AE353" s="2" t="s">
        <v>2090</v>
      </c>
      <c r="AF353" s="2" t="s">
        <v>2091</v>
      </c>
      <c r="AG353" s="2" t="s">
        <v>2092</v>
      </c>
      <c r="AH353" s="2" t="s">
        <v>46</v>
      </c>
      <c r="AI353" s="2" t="s">
        <v>46</v>
      </c>
      <c r="AJ353" s="2" t="s">
        <v>46</v>
      </c>
      <c r="AK353" s="2" t="s">
        <v>2075</v>
      </c>
      <c r="AL353" s="2" t="s">
        <v>46</v>
      </c>
    </row>
    <row r="354" s="2" customFormat="true" ht="15" hidden="false" customHeight="false" outlineLevel="0" collapsed="false">
      <c r="B354" s="2" t="str">
        <f aca="false">HYPERLINK("https://genome.ucsc.edu/cgi-bin/hgTracks?db=hg19&amp;position=chr6%3A32552131%2D32552131", "chr6:32552131")</f>
        <v>chr6:32552131</v>
      </c>
      <c r="C354" s="2" t="s">
        <v>131</v>
      </c>
      <c r="D354" s="2" t="n">
        <v>32552131</v>
      </c>
      <c r="E354" s="2" t="n">
        <v>32552131</v>
      </c>
      <c r="F354" s="2" t="s">
        <v>40</v>
      </c>
      <c r="G354" s="2" t="s">
        <v>1796</v>
      </c>
      <c r="H354" s="2" t="s">
        <v>2093</v>
      </c>
      <c r="I354" s="2" t="s">
        <v>2094</v>
      </c>
      <c r="J354" s="2" t="s">
        <v>2095</v>
      </c>
      <c r="K354" s="2" t="s">
        <v>46</v>
      </c>
      <c r="L354" s="2" t="s">
        <v>46</v>
      </c>
      <c r="M354" s="2" t="str">
        <f aca="false">HYPERLINK("https://www.genecards.org/Search/Keyword?queryString=%5Baliases%5D(%20HLA-DRB1%20)&amp;keywords=HLA-DRB1", "HLA-DRB1")</f>
        <v>HLA-DRB1</v>
      </c>
      <c r="N354" s="2" t="s">
        <v>461</v>
      </c>
      <c r="O354" s="2" t="s">
        <v>46</v>
      </c>
      <c r="P354" s="2" t="s">
        <v>2096</v>
      </c>
      <c r="Q354" s="2" t="n">
        <v>-1</v>
      </c>
      <c r="R354" s="2" t="n">
        <v>-1</v>
      </c>
      <c r="S354" s="2" t="n">
        <v>-1</v>
      </c>
      <c r="T354" s="2" t="n">
        <v>-1</v>
      </c>
      <c r="U354" s="2" t="n">
        <v>-1</v>
      </c>
      <c r="V354" s="2" t="s">
        <v>46</v>
      </c>
      <c r="W354" s="2" t="s">
        <v>46</v>
      </c>
      <c r="X354" s="2" t="s">
        <v>46</v>
      </c>
      <c r="Y354" s="2" t="s">
        <v>46</v>
      </c>
      <c r="Z354" s="2" t="s">
        <v>46</v>
      </c>
      <c r="AA354" s="2" t="s">
        <v>46</v>
      </c>
      <c r="AB354" s="2" t="s">
        <v>46</v>
      </c>
      <c r="AC354" s="2" t="s">
        <v>254</v>
      </c>
      <c r="AD354" s="2" t="s">
        <v>147</v>
      </c>
      <c r="AE354" s="2" t="s">
        <v>2090</v>
      </c>
      <c r="AF354" s="2" t="s">
        <v>2091</v>
      </c>
      <c r="AG354" s="2" t="s">
        <v>2092</v>
      </c>
      <c r="AH354" s="2" t="s">
        <v>46</v>
      </c>
      <c r="AI354" s="2" t="s">
        <v>46</v>
      </c>
      <c r="AJ354" s="2" t="s">
        <v>46</v>
      </c>
      <c r="AK354" s="2" t="s">
        <v>2075</v>
      </c>
      <c r="AL354" s="2" t="s">
        <v>46</v>
      </c>
    </row>
    <row r="355" customFormat="false" ht="15" hidden="false" customHeight="false" outlineLevel="0" collapsed="false">
      <c r="B355" s="0" t="str">
        <f aca="false">HYPERLINK("https://genome.ucsc.edu/cgi-bin/hgTracks?db=hg19&amp;position=chr6%3A36493204%2D36493204", "chr6:36493204")</f>
        <v>chr6:36493204</v>
      </c>
      <c r="C355" s="0" t="s">
        <v>131</v>
      </c>
      <c r="D355" s="0" t="n">
        <v>36493204</v>
      </c>
      <c r="E355" s="0" t="n">
        <v>36493204</v>
      </c>
      <c r="F355" s="0" t="s">
        <v>82</v>
      </c>
      <c r="G355" s="0" t="s">
        <v>40</v>
      </c>
      <c r="H355" s="0" t="s">
        <v>2097</v>
      </c>
      <c r="I355" s="0" t="s">
        <v>187</v>
      </c>
      <c r="J355" s="0" t="s">
        <v>720</v>
      </c>
      <c r="K355" s="0" t="s">
        <v>46</v>
      </c>
      <c r="L355" s="0" t="str">
        <f aca="false">HYPERLINK("https://www.ncbi.nlm.nih.gov/snp/rs148467028", "rs148467028")</f>
        <v>rs148467028</v>
      </c>
      <c r="M355" s="0" t="str">
        <f aca="false">HYPERLINK("https://www.genecards.org/Search/Keyword?queryString=%5Baliases%5D(%20STK38%20)&amp;keywords=STK38", "STK38")</f>
        <v>STK38</v>
      </c>
      <c r="N355" s="0" t="s">
        <v>45</v>
      </c>
      <c r="O355" s="0" t="s">
        <v>46</v>
      </c>
      <c r="P355" s="0" t="s">
        <v>46</v>
      </c>
      <c r="Q355" s="0" t="n">
        <v>0.0138</v>
      </c>
      <c r="R355" s="0" t="n">
        <v>0.0063</v>
      </c>
      <c r="S355" s="0" t="n">
        <v>0.0079</v>
      </c>
      <c r="T355" s="0" t="n">
        <v>-1</v>
      </c>
      <c r="U355" s="0" t="n">
        <v>0.0072</v>
      </c>
      <c r="V355" s="0" t="s">
        <v>46</v>
      </c>
      <c r="W355" s="0" t="s">
        <v>46</v>
      </c>
      <c r="X355" s="0" t="s">
        <v>47</v>
      </c>
      <c r="Y355" s="0" t="s">
        <v>48</v>
      </c>
      <c r="Z355" s="0" t="s">
        <v>46</v>
      </c>
      <c r="AA355" s="0" t="s">
        <v>46</v>
      </c>
      <c r="AB355" s="0" t="s">
        <v>46</v>
      </c>
      <c r="AC355" s="0" t="s">
        <v>50</v>
      </c>
      <c r="AD355" s="0" t="s">
        <v>51</v>
      </c>
      <c r="AE355" s="0" t="s">
        <v>2098</v>
      </c>
      <c r="AF355" s="0" t="s">
        <v>2099</v>
      </c>
      <c r="AG355" s="0" t="s">
        <v>2100</v>
      </c>
      <c r="AH355" s="0" t="s">
        <v>46</v>
      </c>
      <c r="AI355" s="0" t="s">
        <v>46</v>
      </c>
      <c r="AJ355" s="0" t="s">
        <v>46</v>
      </c>
      <c r="AK355" s="0" t="s">
        <v>46</v>
      </c>
      <c r="AL355" s="0" t="s">
        <v>46</v>
      </c>
    </row>
    <row r="356" customFormat="false" ht="15" hidden="false" customHeight="false" outlineLevel="0" collapsed="false">
      <c r="B356" s="0" t="str">
        <f aca="false">HYPERLINK("https://genome.ucsc.edu/cgi-bin/hgTracks?db=hg19&amp;position=chr6%3A38885639%2D38885639", "chr6:38885639")</f>
        <v>chr6:38885639</v>
      </c>
      <c r="C356" s="0" t="s">
        <v>131</v>
      </c>
      <c r="D356" s="0" t="n">
        <v>38885639</v>
      </c>
      <c r="E356" s="0" t="n">
        <v>38885639</v>
      </c>
      <c r="F356" s="0" t="s">
        <v>57</v>
      </c>
      <c r="G356" s="0" t="s">
        <v>39</v>
      </c>
      <c r="H356" s="0" t="s">
        <v>2101</v>
      </c>
      <c r="I356" s="0" t="s">
        <v>329</v>
      </c>
      <c r="J356" s="0" t="s">
        <v>2102</v>
      </c>
      <c r="K356" s="0" t="s">
        <v>46</v>
      </c>
      <c r="L356" s="0" t="str">
        <f aca="false">HYPERLINK("https://www.ncbi.nlm.nih.gov/snp/rs964854325", "rs964854325")</f>
        <v>rs964854325</v>
      </c>
      <c r="M356" s="0" t="str">
        <f aca="false">HYPERLINK("https://www.genecards.org/Search/Keyword?queryString=%5Baliases%5D(%20LOC100131047%20)&amp;keywords=LOC100131047", "LOC100131047")</f>
        <v>LOC100131047</v>
      </c>
      <c r="N356" s="0" t="s">
        <v>306</v>
      </c>
      <c r="O356" s="0" t="s">
        <v>46</v>
      </c>
      <c r="P356" s="0" t="s">
        <v>46</v>
      </c>
      <c r="Q356" s="0" t="n">
        <v>-1</v>
      </c>
      <c r="R356" s="0" t="n">
        <v>-1</v>
      </c>
      <c r="S356" s="0" t="n">
        <v>-1</v>
      </c>
      <c r="T356" s="0" t="n">
        <v>-1</v>
      </c>
      <c r="U356" s="0" t="n">
        <v>-1</v>
      </c>
      <c r="V356" s="0" t="s">
        <v>46</v>
      </c>
      <c r="W356" s="0" t="s">
        <v>46</v>
      </c>
      <c r="X356" s="0" t="s">
        <v>354</v>
      </c>
      <c r="Y356" s="0" t="s">
        <v>48</v>
      </c>
      <c r="Z356" s="0" t="s">
        <v>46</v>
      </c>
      <c r="AA356" s="0" t="s">
        <v>46</v>
      </c>
      <c r="AB356" s="0" t="s">
        <v>46</v>
      </c>
      <c r="AC356" s="0" t="s">
        <v>50</v>
      </c>
      <c r="AD356" s="0" t="s">
        <v>51</v>
      </c>
      <c r="AE356" s="0" t="s">
        <v>46</v>
      </c>
      <c r="AF356" s="0" t="s">
        <v>46</v>
      </c>
      <c r="AG356" s="0" t="s">
        <v>46</v>
      </c>
      <c r="AH356" s="0" t="s">
        <v>46</v>
      </c>
      <c r="AI356" s="0" t="s">
        <v>46</v>
      </c>
      <c r="AJ356" s="0" t="s">
        <v>46</v>
      </c>
      <c r="AK356" s="0" t="s">
        <v>46</v>
      </c>
      <c r="AL356" s="0" t="s">
        <v>46</v>
      </c>
    </row>
    <row r="357" customFormat="false" ht="15" hidden="false" customHeight="false" outlineLevel="0" collapsed="false">
      <c r="B357" s="0" t="str">
        <f aca="false">HYPERLINK("https://genome.ucsc.edu/cgi-bin/hgTracks?db=hg19&amp;position=chr6%3A84925280%2D84925280", "chr6:84925280")</f>
        <v>chr6:84925280</v>
      </c>
      <c r="C357" s="0" t="s">
        <v>131</v>
      </c>
      <c r="D357" s="0" t="n">
        <v>84925280</v>
      </c>
      <c r="E357" s="0" t="n">
        <v>84925280</v>
      </c>
      <c r="F357" s="0" t="s">
        <v>57</v>
      </c>
      <c r="G357" s="0" t="s">
        <v>82</v>
      </c>
      <c r="H357" s="0" t="s">
        <v>1370</v>
      </c>
      <c r="I357" s="0" t="s">
        <v>661</v>
      </c>
      <c r="J357" s="0" t="s">
        <v>662</v>
      </c>
      <c r="K357" s="0" t="s">
        <v>46</v>
      </c>
      <c r="L357" s="0" t="str">
        <f aca="false">HYPERLINK("https://www.ncbi.nlm.nih.gov/snp/rs568075820", "rs568075820")</f>
        <v>rs568075820</v>
      </c>
      <c r="M357" s="0" t="str">
        <f aca="false">HYPERLINK("https://www.genecards.org/Search/Keyword?queryString=%5Baliases%5D(%20CEP162%20)%20OR%20%5Baliases%5D(%20KIAA1009%20)&amp;keywords=CEP162,KIAA1009", "CEP162;KIAA1009")</f>
        <v>CEP162;KIAA1009</v>
      </c>
      <c r="N357" s="0" t="s">
        <v>45</v>
      </c>
      <c r="O357" s="0" t="s">
        <v>46</v>
      </c>
      <c r="P357" s="0" t="s">
        <v>46</v>
      </c>
      <c r="Q357" s="0" t="n">
        <v>0.0082</v>
      </c>
      <c r="R357" s="0" t="n">
        <v>0.0002</v>
      </c>
      <c r="S357" s="0" t="n">
        <v>0.0003</v>
      </c>
      <c r="T357" s="0" t="n">
        <v>-1</v>
      </c>
      <c r="U357" s="0" t="n">
        <v>0.0004</v>
      </c>
      <c r="V357" s="0" t="s">
        <v>46</v>
      </c>
      <c r="W357" s="0" t="s">
        <v>46</v>
      </c>
      <c r="X357" s="0" t="s">
        <v>354</v>
      </c>
      <c r="Y357" s="0" t="s">
        <v>48</v>
      </c>
      <c r="Z357" s="0" t="s">
        <v>46</v>
      </c>
      <c r="AA357" s="0" t="s">
        <v>46</v>
      </c>
      <c r="AB357" s="0" t="s">
        <v>46</v>
      </c>
      <c r="AC357" s="0" t="s">
        <v>50</v>
      </c>
      <c r="AD357" s="0" t="s">
        <v>191</v>
      </c>
      <c r="AE357" s="0" t="s">
        <v>46</v>
      </c>
      <c r="AF357" s="0" t="s">
        <v>2103</v>
      </c>
      <c r="AG357" s="0" t="s">
        <v>2104</v>
      </c>
      <c r="AH357" s="0" t="s">
        <v>46</v>
      </c>
      <c r="AI357" s="0" t="s">
        <v>46</v>
      </c>
      <c r="AJ357" s="0" t="s">
        <v>46</v>
      </c>
      <c r="AK357" s="0" t="s">
        <v>46</v>
      </c>
      <c r="AL357" s="0" t="s">
        <v>46</v>
      </c>
    </row>
    <row r="358" customFormat="false" ht="15" hidden="false" customHeight="false" outlineLevel="0" collapsed="false">
      <c r="B358" s="0" t="str">
        <f aca="false">HYPERLINK("https://genome.ucsc.edu/cgi-bin/hgTracks?db=hg19&amp;position=chr6%3A111896794%2D111896794", "chr6:111896794")</f>
        <v>chr6:111896794</v>
      </c>
      <c r="C358" s="0" t="s">
        <v>131</v>
      </c>
      <c r="D358" s="0" t="n">
        <v>111896794</v>
      </c>
      <c r="E358" s="0" t="n">
        <v>111896794</v>
      </c>
      <c r="F358" s="0" t="s">
        <v>57</v>
      </c>
      <c r="G358" s="0" t="s">
        <v>185</v>
      </c>
      <c r="H358" s="0" t="s">
        <v>2105</v>
      </c>
      <c r="I358" s="0" t="s">
        <v>2106</v>
      </c>
      <c r="J358" s="0" t="s">
        <v>2107</v>
      </c>
      <c r="K358" s="0" t="s">
        <v>46</v>
      </c>
      <c r="L358" s="0" t="s">
        <v>46</v>
      </c>
      <c r="M358" s="0" t="str">
        <f aca="false">HYPERLINK("https://www.genecards.org/Search/Keyword?queryString=%5Baliases%5D(%20TRAF3IP2%20)%20OR%20%5Baliases%5D(%20TRAF3IP2-AS1%20)&amp;keywords=TRAF3IP2,TRAF3IP2-AS1", "TRAF3IP2;TRAF3IP2-AS1")</f>
        <v>TRAF3IP2;TRAF3IP2-AS1</v>
      </c>
      <c r="N358" s="0" t="s">
        <v>306</v>
      </c>
      <c r="O358" s="0" t="s">
        <v>46</v>
      </c>
      <c r="P358" s="0" t="s">
        <v>46</v>
      </c>
      <c r="Q358" s="0" t="n">
        <v>-1</v>
      </c>
      <c r="R358" s="0" t="n">
        <v>-1</v>
      </c>
      <c r="S358" s="0" t="n">
        <v>-1</v>
      </c>
      <c r="T358" s="0" t="n">
        <v>-1</v>
      </c>
      <c r="U358" s="0" t="n">
        <v>-1</v>
      </c>
      <c r="V358" s="0" t="s">
        <v>46</v>
      </c>
      <c r="W358" s="0" t="s">
        <v>46</v>
      </c>
      <c r="X358" s="0" t="s">
        <v>46</v>
      </c>
      <c r="Y358" s="0" t="s">
        <v>46</v>
      </c>
      <c r="Z358" s="0" t="s">
        <v>46</v>
      </c>
      <c r="AA358" s="0" t="s">
        <v>46</v>
      </c>
      <c r="AB358" s="0" t="s">
        <v>46</v>
      </c>
      <c r="AC358" s="0" t="s">
        <v>254</v>
      </c>
      <c r="AD358" s="0" t="s">
        <v>191</v>
      </c>
      <c r="AE358" s="0" t="s">
        <v>2108</v>
      </c>
      <c r="AF358" s="0" t="s">
        <v>2109</v>
      </c>
      <c r="AG358" s="0" t="s">
        <v>2110</v>
      </c>
      <c r="AH358" s="0" t="s">
        <v>2111</v>
      </c>
      <c r="AI358" s="0" t="s">
        <v>46</v>
      </c>
      <c r="AJ358" s="0" t="s">
        <v>46</v>
      </c>
      <c r="AK358" s="0" t="s">
        <v>46</v>
      </c>
      <c r="AL358" s="0" t="s">
        <v>46</v>
      </c>
    </row>
    <row r="359" customFormat="false" ht="15" hidden="false" customHeight="false" outlineLevel="0" collapsed="false">
      <c r="B359" s="0" t="str">
        <f aca="false">HYPERLINK("https://genome.ucsc.edu/cgi-bin/hgTracks?db=hg19&amp;position=chr6%3A123122303%2D123122303", "chr6:123122303")</f>
        <v>chr6:123122303</v>
      </c>
      <c r="C359" s="0" t="s">
        <v>131</v>
      </c>
      <c r="D359" s="0" t="n">
        <v>123122303</v>
      </c>
      <c r="E359" s="0" t="n">
        <v>123122303</v>
      </c>
      <c r="F359" s="0" t="s">
        <v>40</v>
      </c>
      <c r="G359" s="0" t="s">
        <v>39</v>
      </c>
      <c r="H359" s="0" t="s">
        <v>2112</v>
      </c>
      <c r="I359" s="0" t="s">
        <v>404</v>
      </c>
      <c r="J359" s="0" t="s">
        <v>2113</v>
      </c>
      <c r="K359" s="0" t="s">
        <v>46</v>
      </c>
      <c r="L359" s="0" t="str">
        <f aca="false">HYPERLINK("https://www.ncbi.nlm.nih.gov/snp/rs530710522", "rs530710522")</f>
        <v>rs530710522</v>
      </c>
      <c r="M359" s="0" t="str">
        <f aca="false">HYPERLINK("https://www.genecards.org/Search/Keyword?queryString=%5Baliases%5D(%20SMPDL3A%20)&amp;keywords=SMPDL3A", "SMPDL3A")</f>
        <v>SMPDL3A</v>
      </c>
      <c r="N359" s="0" t="s">
        <v>45</v>
      </c>
      <c r="O359" s="0" t="s">
        <v>46</v>
      </c>
      <c r="P359" s="0" t="s">
        <v>46</v>
      </c>
      <c r="Q359" s="0" t="n">
        <v>0.0118</v>
      </c>
      <c r="R359" s="0" t="n">
        <v>0.0009</v>
      </c>
      <c r="S359" s="0" t="n">
        <v>0.0008</v>
      </c>
      <c r="T359" s="0" t="n">
        <v>-1</v>
      </c>
      <c r="U359" s="0" t="n">
        <v>0.0018</v>
      </c>
      <c r="V359" s="0" t="s">
        <v>46</v>
      </c>
      <c r="W359" s="0" t="s">
        <v>46</v>
      </c>
      <c r="X359" s="0" t="s">
        <v>47</v>
      </c>
      <c r="Y359" s="0" t="s">
        <v>48</v>
      </c>
      <c r="Z359" s="0" t="s">
        <v>46</v>
      </c>
      <c r="AA359" s="0" t="s">
        <v>46</v>
      </c>
      <c r="AB359" s="0" t="s">
        <v>46</v>
      </c>
      <c r="AC359" s="0" t="s">
        <v>50</v>
      </c>
      <c r="AD359" s="0" t="s">
        <v>51</v>
      </c>
      <c r="AE359" s="0" t="s">
        <v>2114</v>
      </c>
      <c r="AF359" s="0" t="s">
        <v>2115</v>
      </c>
      <c r="AG359" s="0" t="s">
        <v>46</v>
      </c>
      <c r="AH359" s="0" t="s">
        <v>46</v>
      </c>
      <c r="AI359" s="0" t="s">
        <v>46</v>
      </c>
      <c r="AJ359" s="0" t="s">
        <v>46</v>
      </c>
      <c r="AK359" s="0" t="s">
        <v>46</v>
      </c>
      <c r="AL359" s="0" t="s">
        <v>46</v>
      </c>
    </row>
    <row r="360" customFormat="false" ht="15" hidden="false" customHeight="false" outlineLevel="0" collapsed="false">
      <c r="B360" s="0" t="str">
        <f aca="false">HYPERLINK("https://genome.ucsc.edu/cgi-bin/hgTracks?db=hg19&amp;position=chr6%3A132148007%2D132148007", "chr6:132148007")</f>
        <v>chr6:132148007</v>
      </c>
      <c r="C360" s="0" t="s">
        <v>131</v>
      </c>
      <c r="D360" s="0" t="n">
        <v>132148007</v>
      </c>
      <c r="E360" s="0" t="n">
        <v>132148007</v>
      </c>
      <c r="F360" s="0" t="s">
        <v>57</v>
      </c>
      <c r="G360" s="0" t="s">
        <v>39</v>
      </c>
      <c r="H360" s="0" t="s">
        <v>2116</v>
      </c>
      <c r="I360" s="0" t="s">
        <v>583</v>
      </c>
      <c r="J360" s="0" t="s">
        <v>2117</v>
      </c>
      <c r="K360" s="0" t="s">
        <v>46</v>
      </c>
      <c r="L360" s="0" t="str">
        <f aca="false">HYPERLINK("https://www.ncbi.nlm.nih.gov/snp/rs183426570", "rs183426570")</f>
        <v>rs183426570</v>
      </c>
      <c r="M360" s="0" t="str">
        <f aca="false">HYPERLINK("https://www.genecards.org/Search/Keyword?queryString=%5Baliases%5D(%20ENPP1%20)&amp;keywords=ENPP1", "ENPP1")</f>
        <v>ENPP1</v>
      </c>
      <c r="N360" s="0" t="s">
        <v>704</v>
      </c>
      <c r="O360" s="0" t="s">
        <v>46</v>
      </c>
      <c r="P360" s="0" t="s">
        <v>46</v>
      </c>
      <c r="Q360" s="0" t="n">
        <v>0.0109</v>
      </c>
      <c r="R360" s="0" t="n">
        <v>0.0019</v>
      </c>
      <c r="S360" s="0" t="n">
        <v>0.0015</v>
      </c>
      <c r="T360" s="0" t="n">
        <v>-1</v>
      </c>
      <c r="U360" s="0" t="n">
        <v>0.0034</v>
      </c>
      <c r="V360" s="0" t="s">
        <v>46</v>
      </c>
      <c r="W360" s="0" t="s">
        <v>46</v>
      </c>
      <c r="X360" s="0" t="s">
        <v>46</v>
      </c>
      <c r="Y360" s="0" t="s">
        <v>46</v>
      </c>
      <c r="Z360" s="0" t="s">
        <v>46</v>
      </c>
      <c r="AA360" s="0" t="s">
        <v>46</v>
      </c>
      <c r="AB360" s="0" t="s">
        <v>46</v>
      </c>
      <c r="AC360" s="0" t="s">
        <v>50</v>
      </c>
      <c r="AD360" s="0" t="s">
        <v>51</v>
      </c>
      <c r="AE360" s="0" t="s">
        <v>2118</v>
      </c>
      <c r="AF360" s="0" t="s">
        <v>2119</v>
      </c>
      <c r="AG360" s="0" t="s">
        <v>2120</v>
      </c>
      <c r="AH360" s="0" t="s">
        <v>2121</v>
      </c>
      <c r="AI360" s="0" t="s">
        <v>46</v>
      </c>
      <c r="AJ360" s="0" t="s">
        <v>46</v>
      </c>
      <c r="AK360" s="0" t="s">
        <v>46</v>
      </c>
      <c r="AL360" s="0" t="s">
        <v>46</v>
      </c>
    </row>
    <row r="361" customFormat="false" ht="15" hidden="false" customHeight="false" outlineLevel="0" collapsed="false">
      <c r="B361" s="0" t="str">
        <f aca="false">HYPERLINK("https://genome.ucsc.edu/cgi-bin/hgTracks?db=hg19&amp;position=chr6%3A136596980%2D136596980", "chr6:136596980")</f>
        <v>chr6:136596980</v>
      </c>
      <c r="C361" s="0" t="s">
        <v>131</v>
      </c>
      <c r="D361" s="0" t="n">
        <v>136596980</v>
      </c>
      <c r="E361" s="0" t="n">
        <v>136596980</v>
      </c>
      <c r="F361" s="0" t="s">
        <v>40</v>
      </c>
      <c r="G361" s="0" t="s">
        <v>82</v>
      </c>
      <c r="H361" s="0" t="s">
        <v>2122</v>
      </c>
      <c r="I361" s="0" t="s">
        <v>2123</v>
      </c>
      <c r="J361" s="0" t="s">
        <v>2124</v>
      </c>
      <c r="K361" s="0" t="s">
        <v>46</v>
      </c>
      <c r="L361" s="0" t="s">
        <v>46</v>
      </c>
      <c r="M361" s="0" t="str">
        <f aca="false">HYPERLINK("https://www.genecards.org/Search/Keyword?queryString=%5Baliases%5D(%20BCLAF1%20)&amp;keywords=BCLAF1", "BCLAF1")</f>
        <v>BCLAF1</v>
      </c>
      <c r="N361" s="0" t="s">
        <v>602</v>
      </c>
      <c r="O361" s="0" t="s">
        <v>46</v>
      </c>
      <c r="P361" s="0" t="s">
        <v>2125</v>
      </c>
      <c r="Q361" s="0" t="n">
        <v>-1</v>
      </c>
      <c r="R361" s="0" t="n">
        <v>-1</v>
      </c>
      <c r="S361" s="0" t="n">
        <v>-1</v>
      </c>
      <c r="T361" s="0" t="n">
        <v>-1</v>
      </c>
      <c r="U361" s="0" t="n">
        <v>-1</v>
      </c>
      <c r="V361" s="0" t="s">
        <v>384</v>
      </c>
      <c r="W361" s="0" t="s">
        <v>47</v>
      </c>
      <c r="X361" s="0" t="s">
        <v>47</v>
      </c>
      <c r="Y361" s="0" t="s">
        <v>200</v>
      </c>
      <c r="Z361" s="0" t="s">
        <v>158</v>
      </c>
      <c r="AA361" s="0" t="s">
        <v>46</v>
      </c>
      <c r="AB361" s="0" t="s">
        <v>46</v>
      </c>
      <c r="AC361" s="0" t="s">
        <v>50</v>
      </c>
      <c r="AD361" s="0" t="s">
        <v>51</v>
      </c>
      <c r="AE361" s="0" t="s">
        <v>46</v>
      </c>
      <c r="AF361" s="0" t="s">
        <v>2126</v>
      </c>
      <c r="AG361" s="0" t="s">
        <v>2127</v>
      </c>
      <c r="AH361" s="0" t="s">
        <v>46</v>
      </c>
      <c r="AI361" s="0" t="s">
        <v>46</v>
      </c>
      <c r="AJ361" s="0" t="s">
        <v>46</v>
      </c>
      <c r="AK361" s="0" t="s">
        <v>46</v>
      </c>
      <c r="AL361" s="0" t="s">
        <v>487</v>
      </c>
    </row>
    <row r="362" customFormat="false" ht="15" hidden="false" customHeight="false" outlineLevel="0" collapsed="false">
      <c r="B362" s="0" t="str">
        <f aca="false">HYPERLINK("https://genome.ucsc.edu/cgi-bin/hgTracks?db=hg19&amp;position=chr7%3A5401208%2D5401208", "chr7:5401208")</f>
        <v>chr7:5401208</v>
      </c>
      <c r="C362" s="0" t="s">
        <v>38</v>
      </c>
      <c r="D362" s="0" t="n">
        <v>5401208</v>
      </c>
      <c r="E362" s="0" t="n">
        <v>5401208</v>
      </c>
      <c r="F362" s="0" t="s">
        <v>40</v>
      </c>
      <c r="G362" s="0" t="s">
        <v>57</v>
      </c>
      <c r="H362" s="0" t="s">
        <v>2128</v>
      </c>
      <c r="I362" s="0" t="s">
        <v>1433</v>
      </c>
      <c r="J362" s="0" t="s">
        <v>2129</v>
      </c>
      <c r="K362" s="0" t="s">
        <v>46</v>
      </c>
      <c r="L362" s="0" t="str">
        <f aca="false">HYPERLINK("https://www.ncbi.nlm.nih.gov/snp/rs763188003", "rs763188003")</f>
        <v>rs763188003</v>
      </c>
      <c r="M362" s="0" t="str">
        <f aca="false">HYPERLINK("https://www.genecards.org/Search/Keyword?queryString=%5Baliases%5D(%20TNRC18%20)&amp;keywords=TNRC18", "TNRC18")</f>
        <v>TNRC18</v>
      </c>
      <c r="N362" s="0" t="s">
        <v>45</v>
      </c>
      <c r="O362" s="0" t="s">
        <v>46</v>
      </c>
      <c r="P362" s="0" t="s">
        <v>46</v>
      </c>
      <c r="Q362" s="0" t="n">
        <v>0.0023</v>
      </c>
      <c r="R362" s="0" t="n">
        <v>0.0014</v>
      </c>
      <c r="S362" s="0" t="n">
        <v>0.001</v>
      </c>
      <c r="T362" s="0" t="n">
        <v>-1</v>
      </c>
      <c r="U362" s="0" t="n">
        <v>0.0013</v>
      </c>
      <c r="V362" s="0" t="s">
        <v>46</v>
      </c>
      <c r="W362" s="0" t="s">
        <v>46</v>
      </c>
      <c r="X362" s="0" t="s">
        <v>47</v>
      </c>
      <c r="Y362" s="0" t="s">
        <v>48</v>
      </c>
      <c r="Z362" s="0" t="s">
        <v>46</v>
      </c>
      <c r="AA362" s="0" t="s">
        <v>46</v>
      </c>
      <c r="AB362" s="0" t="s">
        <v>46</v>
      </c>
      <c r="AC362" s="0" t="s">
        <v>50</v>
      </c>
      <c r="AD362" s="0" t="s">
        <v>385</v>
      </c>
      <c r="AE362" s="0" t="s">
        <v>2130</v>
      </c>
      <c r="AF362" s="0" t="s">
        <v>2131</v>
      </c>
      <c r="AG362" s="0" t="s">
        <v>46</v>
      </c>
      <c r="AH362" s="0" t="s">
        <v>46</v>
      </c>
      <c r="AI362" s="0" t="s">
        <v>46</v>
      </c>
      <c r="AJ362" s="0" t="s">
        <v>46</v>
      </c>
      <c r="AK362" s="0" t="s">
        <v>46</v>
      </c>
      <c r="AL362" s="0" t="s">
        <v>46</v>
      </c>
    </row>
    <row r="363" customFormat="false" ht="15" hidden="false" customHeight="false" outlineLevel="0" collapsed="false">
      <c r="B363" s="0" t="str">
        <f aca="false">HYPERLINK("https://genome.ucsc.edu/cgi-bin/hgTracks?db=hg19&amp;position=chr7%3A5429992%2D5429992", "chr7:5429992")</f>
        <v>chr7:5429992</v>
      </c>
      <c r="C363" s="0" t="s">
        <v>38</v>
      </c>
      <c r="D363" s="0" t="n">
        <v>5429992</v>
      </c>
      <c r="E363" s="0" t="n">
        <v>5429992</v>
      </c>
      <c r="F363" s="0" t="s">
        <v>57</v>
      </c>
      <c r="G363" s="0" t="s">
        <v>185</v>
      </c>
      <c r="H363" s="0" t="s">
        <v>2132</v>
      </c>
      <c r="I363" s="0" t="s">
        <v>1136</v>
      </c>
      <c r="J363" s="0" t="s">
        <v>2133</v>
      </c>
      <c r="K363" s="0" t="s">
        <v>46</v>
      </c>
      <c r="L363" s="0" t="s">
        <v>46</v>
      </c>
      <c r="M363" s="0" t="str">
        <f aca="false">HYPERLINK("https://www.genecards.org/Search/Keyword?queryString=%5Baliases%5D(%20TNRC18%20)&amp;keywords=TNRC18", "TNRC18")</f>
        <v>TNRC18</v>
      </c>
      <c r="N363" s="0" t="s">
        <v>280</v>
      </c>
      <c r="O363" s="0" t="s">
        <v>2134</v>
      </c>
      <c r="P363" s="0" t="s">
        <v>2135</v>
      </c>
      <c r="Q363" s="0" t="n">
        <v>-1</v>
      </c>
      <c r="R363" s="0" t="n">
        <v>-1</v>
      </c>
      <c r="S363" s="0" t="n">
        <v>-1</v>
      </c>
      <c r="T363" s="0" t="n">
        <v>-1</v>
      </c>
      <c r="U363" s="0" t="n">
        <v>-1</v>
      </c>
      <c r="V363" s="0" t="s">
        <v>46</v>
      </c>
      <c r="W363" s="0" t="s">
        <v>46</v>
      </c>
      <c r="X363" s="0" t="s">
        <v>46</v>
      </c>
      <c r="Y363" s="0" t="s">
        <v>46</v>
      </c>
      <c r="Z363" s="0" t="s">
        <v>46</v>
      </c>
      <c r="AA363" s="0" t="s">
        <v>46</v>
      </c>
      <c r="AB363" s="0" t="s">
        <v>46</v>
      </c>
      <c r="AC363" s="0" t="s">
        <v>254</v>
      </c>
      <c r="AD363" s="0" t="s">
        <v>385</v>
      </c>
      <c r="AE363" s="0" t="s">
        <v>2130</v>
      </c>
      <c r="AF363" s="0" t="s">
        <v>2131</v>
      </c>
      <c r="AG363" s="0" t="s">
        <v>46</v>
      </c>
      <c r="AH363" s="0" t="s">
        <v>46</v>
      </c>
      <c r="AI363" s="0" t="s">
        <v>46</v>
      </c>
      <c r="AJ363" s="0" t="s">
        <v>46</v>
      </c>
      <c r="AK363" s="0" t="s">
        <v>46</v>
      </c>
      <c r="AL363" s="0" t="s">
        <v>46</v>
      </c>
    </row>
    <row r="364" customFormat="false" ht="15" hidden="false" customHeight="false" outlineLevel="0" collapsed="false">
      <c r="B364" s="0" t="str">
        <f aca="false">HYPERLINK("https://genome.ucsc.edu/cgi-bin/hgTracks?db=hg19&amp;position=chr7%3A5430459%2D5430459", "chr7:5430459")</f>
        <v>chr7:5430459</v>
      </c>
      <c r="C364" s="0" t="s">
        <v>38</v>
      </c>
      <c r="D364" s="0" t="n">
        <v>5430459</v>
      </c>
      <c r="E364" s="0" t="n">
        <v>5430459</v>
      </c>
      <c r="F364" s="0" t="s">
        <v>39</v>
      </c>
      <c r="G364" s="0" t="s">
        <v>82</v>
      </c>
      <c r="H364" s="0" t="s">
        <v>2136</v>
      </c>
      <c r="I364" s="0" t="s">
        <v>442</v>
      </c>
      <c r="J364" s="0" t="s">
        <v>2137</v>
      </c>
      <c r="K364" s="0" t="s">
        <v>46</v>
      </c>
      <c r="L364" s="0" t="str">
        <f aca="false">HYPERLINK("https://www.ncbi.nlm.nih.gov/snp/rs746086431", "rs746086431")</f>
        <v>rs746086431</v>
      </c>
      <c r="M364" s="0" t="str">
        <f aca="false">HYPERLINK("https://www.genecards.org/Search/Keyword?queryString=%5Baliases%5D(%20TNRC18%20)&amp;keywords=TNRC18", "TNRC18")</f>
        <v>TNRC18</v>
      </c>
      <c r="N364" s="0" t="s">
        <v>45</v>
      </c>
      <c r="O364" s="0" t="s">
        <v>46</v>
      </c>
      <c r="P364" s="0" t="s">
        <v>46</v>
      </c>
      <c r="Q364" s="0" t="n">
        <v>0.0003</v>
      </c>
      <c r="R364" s="0" t="n">
        <v>-1</v>
      </c>
      <c r="S364" s="0" t="n">
        <v>-1</v>
      </c>
      <c r="T364" s="0" t="n">
        <v>-1</v>
      </c>
      <c r="U364" s="0" t="n">
        <v>-1</v>
      </c>
      <c r="V364" s="0" t="s">
        <v>46</v>
      </c>
      <c r="W364" s="0" t="s">
        <v>46</v>
      </c>
      <c r="X364" s="0" t="s">
        <v>354</v>
      </c>
      <c r="Y364" s="0" t="s">
        <v>48</v>
      </c>
      <c r="Z364" s="0" t="s">
        <v>46</v>
      </c>
      <c r="AA364" s="0" t="s">
        <v>46</v>
      </c>
      <c r="AB364" s="0" t="s">
        <v>46</v>
      </c>
      <c r="AC364" s="0" t="s">
        <v>50</v>
      </c>
      <c r="AD364" s="0" t="s">
        <v>385</v>
      </c>
      <c r="AE364" s="0" t="s">
        <v>2130</v>
      </c>
      <c r="AF364" s="0" t="s">
        <v>2131</v>
      </c>
      <c r="AG364" s="0" t="s">
        <v>46</v>
      </c>
      <c r="AH364" s="0" t="s">
        <v>46</v>
      </c>
      <c r="AI364" s="0" t="s">
        <v>46</v>
      </c>
      <c r="AJ364" s="0" t="s">
        <v>46</v>
      </c>
      <c r="AK364" s="0" t="s">
        <v>46</v>
      </c>
      <c r="AL364" s="0" t="s">
        <v>46</v>
      </c>
    </row>
    <row r="365" customFormat="false" ht="15" hidden="false" customHeight="false" outlineLevel="0" collapsed="false">
      <c r="B365" s="0" t="str">
        <f aca="false">HYPERLINK("https://genome.ucsc.edu/cgi-bin/hgTracks?db=hg19&amp;position=chr7%3A23015961%2D23015961", "chr7:23015961")</f>
        <v>chr7:23015961</v>
      </c>
      <c r="C365" s="0" t="s">
        <v>38</v>
      </c>
      <c r="D365" s="0" t="n">
        <v>23015961</v>
      </c>
      <c r="E365" s="0" t="n">
        <v>23015961</v>
      </c>
      <c r="F365" s="0" t="s">
        <v>39</v>
      </c>
      <c r="G365" s="0" t="s">
        <v>40</v>
      </c>
      <c r="H365" s="0" t="s">
        <v>2138</v>
      </c>
      <c r="I365" s="0" t="s">
        <v>773</v>
      </c>
      <c r="J365" s="0" t="s">
        <v>2139</v>
      </c>
      <c r="K365" s="0" t="s">
        <v>46</v>
      </c>
      <c r="L365" s="0" t="s">
        <v>46</v>
      </c>
      <c r="M365" s="0" t="str">
        <f aca="false">HYPERLINK("https://www.genecards.org/Search/Keyword?queryString=%5Baliases%5D(%20FAM126A%20)&amp;keywords=FAM126A", "FAM126A")</f>
        <v>FAM126A</v>
      </c>
      <c r="N365" s="0" t="s">
        <v>45</v>
      </c>
      <c r="O365" s="0" t="s">
        <v>46</v>
      </c>
      <c r="P365" s="0" t="s">
        <v>46</v>
      </c>
      <c r="Q365" s="0" t="n">
        <v>-1</v>
      </c>
      <c r="R365" s="0" t="n">
        <v>-1</v>
      </c>
      <c r="S365" s="0" t="n">
        <v>-1</v>
      </c>
      <c r="T365" s="0" t="n">
        <v>-1</v>
      </c>
      <c r="U365" s="0" t="n">
        <v>-1</v>
      </c>
      <c r="V365" s="0" t="s">
        <v>46</v>
      </c>
      <c r="W365" s="0" t="s">
        <v>46</v>
      </c>
      <c r="X365" s="0" t="s">
        <v>354</v>
      </c>
      <c r="Y365" s="0" t="s">
        <v>48</v>
      </c>
      <c r="Z365" s="0" t="s">
        <v>46</v>
      </c>
      <c r="AA365" s="0" t="s">
        <v>46</v>
      </c>
      <c r="AB365" s="0" t="s">
        <v>46</v>
      </c>
      <c r="AC365" s="0" t="s">
        <v>50</v>
      </c>
      <c r="AD365" s="0" t="s">
        <v>51</v>
      </c>
      <c r="AE365" s="0" t="s">
        <v>2140</v>
      </c>
      <c r="AF365" s="0" t="s">
        <v>2141</v>
      </c>
      <c r="AG365" s="0" t="s">
        <v>2142</v>
      </c>
      <c r="AH365" s="0" t="s">
        <v>2143</v>
      </c>
      <c r="AI365" s="0" t="s">
        <v>46</v>
      </c>
      <c r="AJ365" s="0" t="s">
        <v>46</v>
      </c>
      <c r="AK365" s="0" t="s">
        <v>46</v>
      </c>
      <c r="AL365" s="0" t="s">
        <v>46</v>
      </c>
    </row>
    <row r="366" customFormat="false" ht="15" hidden="false" customHeight="false" outlineLevel="0" collapsed="false">
      <c r="B366" s="0" t="str">
        <f aca="false">HYPERLINK("https://genome.ucsc.edu/cgi-bin/hgTracks?db=hg19&amp;position=chr7%3A34867256%2D34867256", "chr7:34867256")</f>
        <v>chr7:34867256</v>
      </c>
      <c r="C366" s="0" t="s">
        <v>38</v>
      </c>
      <c r="D366" s="0" t="n">
        <v>34867256</v>
      </c>
      <c r="E366" s="0" t="n">
        <v>34867256</v>
      </c>
      <c r="F366" s="0" t="s">
        <v>39</v>
      </c>
      <c r="G366" s="0" t="s">
        <v>57</v>
      </c>
      <c r="H366" s="0" t="s">
        <v>1378</v>
      </c>
      <c r="I366" s="0" t="s">
        <v>595</v>
      </c>
      <c r="J366" s="0" t="s">
        <v>2144</v>
      </c>
      <c r="K366" s="0" t="s">
        <v>46</v>
      </c>
      <c r="L366" s="0" t="str">
        <f aca="false">HYPERLINK("https://www.ncbi.nlm.nih.gov/snp/rs201624729", "rs201624729")</f>
        <v>rs201624729</v>
      </c>
      <c r="M366" s="0" t="str">
        <f aca="false">HYPERLINK("https://www.genecards.org/Search/Keyword?queryString=%5Baliases%5D(%20NPSR1-AS1%20)&amp;keywords=NPSR1-AS1", "NPSR1-AS1")</f>
        <v>NPSR1-AS1</v>
      </c>
      <c r="N366" s="0" t="s">
        <v>1841</v>
      </c>
      <c r="O366" s="0" t="s">
        <v>46</v>
      </c>
      <c r="P366" s="0" t="s">
        <v>46</v>
      </c>
      <c r="Q366" s="0" t="n">
        <v>0.0122</v>
      </c>
      <c r="R366" s="0" t="n">
        <v>0.0084</v>
      </c>
      <c r="S366" s="0" t="n">
        <v>0.0225</v>
      </c>
      <c r="T366" s="0" t="n">
        <v>-1</v>
      </c>
      <c r="U366" s="0" t="n">
        <v>0.0132</v>
      </c>
      <c r="V366" s="0" t="s">
        <v>46</v>
      </c>
      <c r="W366" s="0" t="s">
        <v>46</v>
      </c>
      <c r="X366" s="0" t="s">
        <v>47</v>
      </c>
      <c r="Y366" s="0" t="s">
        <v>48</v>
      </c>
      <c r="Z366" s="0" t="s">
        <v>46</v>
      </c>
      <c r="AA366" s="0" t="s">
        <v>46</v>
      </c>
      <c r="AB366" s="0" t="s">
        <v>46</v>
      </c>
      <c r="AC366" s="0" t="s">
        <v>50</v>
      </c>
      <c r="AD366" s="0" t="s">
        <v>51</v>
      </c>
      <c r="AE366" s="0" t="s">
        <v>46</v>
      </c>
      <c r="AF366" s="0" t="s">
        <v>2145</v>
      </c>
      <c r="AG366" s="0" t="s">
        <v>46</v>
      </c>
      <c r="AH366" s="0" t="s">
        <v>46</v>
      </c>
      <c r="AI366" s="0" t="s">
        <v>46</v>
      </c>
      <c r="AJ366" s="0" t="s">
        <v>46</v>
      </c>
      <c r="AK366" s="0" t="s">
        <v>46</v>
      </c>
      <c r="AL366" s="0" t="s">
        <v>46</v>
      </c>
    </row>
    <row r="367" customFormat="false" ht="15" hidden="false" customHeight="false" outlineLevel="0" collapsed="false">
      <c r="B367" s="0" t="str">
        <f aca="false">HYPERLINK("https://genome.ucsc.edu/cgi-bin/hgTracks?db=hg19&amp;position=chr7%3A63602086%2D63602086", "chr7:63602086")</f>
        <v>chr7:63602086</v>
      </c>
      <c r="C367" s="0" t="s">
        <v>38</v>
      </c>
      <c r="D367" s="0" t="n">
        <v>63602086</v>
      </c>
      <c r="E367" s="0" t="n">
        <v>63602086</v>
      </c>
      <c r="F367" s="0" t="s">
        <v>57</v>
      </c>
      <c r="G367" s="0" t="s">
        <v>40</v>
      </c>
      <c r="H367" s="0" t="s">
        <v>2146</v>
      </c>
      <c r="I367" s="0" t="s">
        <v>187</v>
      </c>
      <c r="J367" s="0" t="s">
        <v>188</v>
      </c>
      <c r="K367" s="0" t="s">
        <v>46</v>
      </c>
      <c r="L367" s="0" t="str">
        <f aca="false">HYPERLINK("https://www.ncbi.nlm.nih.gov/snp/rs371122632", "rs371122632")</f>
        <v>rs371122632</v>
      </c>
      <c r="M367" s="0" t="s">
        <v>46</v>
      </c>
      <c r="N367" s="0" t="s">
        <v>2147</v>
      </c>
      <c r="O367" s="0" t="s">
        <v>46</v>
      </c>
      <c r="P367" s="0" t="s">
        <v>2148</v>
      </c>
      <c r="Q367" s="0" t="n">
        <v>0.0174</v>
      </c>
      <c r="R367" s="0" t="n">
        <v>0.0014</v>
      </c>
      <c r="S367" s="0" t="n">
        <v>0.0007</v>
      </c>
      <c r="T367" s="0" t="n">
        <v>-1</v>
      </c>
      <c r="U367" s="0" t="n">
        <v>0.0002</v>
      </c>
      <c r="V367" s="0" t="s">
        <v>46</v>
      </c>
      <c r="W367" s="0" t="s">
        <v>46</v>
      </c>
      <c r="X367" s="0" t="s">
        <v>46</v>
      </c>
      <c r="Y367" s="0" t="s">
        <v>46</v>
      </c>
      <c r="Z367" s="0" t="s">
        <v>46</v>
      </c>
      <c r="AA367" s="0" t="s">
        <v>46</v>
      </c>
      <c r="AB367" s="0" t="s">
        <v>46</v>
      </c>
      <c r="AC367" s="0" t="s">
        <v>50</v>
      </c>
      <c r="AD367" s="0" t="s">
        <v>210</v>
      </c>
      <c r="AE367" s="0" t="s">
        <v>46</v>
      </c>
      <c r="AF367" s="0" t="s">
        <v>46</v>
      </c>
      <c r="AG367" s="0" t="s">
        <v>46</v>
      </c>
      <c r="AH367" s="0" t="s">
        <v>46</v>
      </c>
      <c r="AI367" s="0" t="s">
        <v>571</v>
      </c>
      <c r="AJ367" s="0" t="s">
        <v>46</v>
      </c>
      <c r="AK367" s="0" t="s">
        <v>46</v>
      </c>
      <c r="AL367" s="0" t="s">
        <v>46</v>
      </c>
    </row>
    <row r="368" customFormat="false" ht="15" hidden="false" customHeight="false" outlineLevel="0" collapsed="false">
      <c r="B368" s="0" t="str">
        <f aca="false">HYPERLINK("https://genome.ucsc.edu/cgi-bin/hgTracks?db=hg19&amp;position=chr7%3A100415013%2D100415013", "chr7:100415013")</f>
        <v>chr7:100415013</v>
      </c>
      <c r="C368" s="0" t="s">
        <v>38</v>
      </c>
      <c r="D368" s="0" t="n">
        <v>100415013</v>
      </c>
      <c r="E368" s="0" t="n">
        <v>100415013</v>
      </c>
      <c r="F368" s="0" t="s">
        <v>40</v>
      </c>
      <c r="G368" s="0" t="s">
        <v>82</v>
      </c>
      <c r="H368" s="0" t="s">
        <v>2149</v>
      </c>
      <c r="I368" s="0" t="s">
        <v>1066</v>
      </c>
      <c r="J368" s="0" t="s">
        <v>1067</v>
      </c>
      <c r="K368" s="0" t="s">
        <v>46</v>
      </c>
      <c r="L368" s="0" t="str">
        <f aca="false">HYPERLINK("https://www.ncbi.nlm.nih.gov/snp/rs200180829", "rs200180829")</f>
        <v>rs200180829</v>
      </c>
      <c r="M368" s="0" t="str">
        <f aca="false">HYPERLINK("https://www.genecards.org/Search/Keyword?queryString=%5Baliases%5D(%20EPHB4%20)&amp;keywords=EPHB4", "EPHB4")</f>
        <v>EPHB4</v>
      </c>
      <c r="N368" s="0" t="s">
        <v>45</v>
      </c>
      <c r="O368" s="0" t="s">
        <v>46</v>
      </c>
      <c r="P368" s="0" t="s">
        <v>46</v>
      </c>
      <c r="Q368" s="0" t="n">
        <v>0.0055</v>
      </c>
      <c r="R368" s="0" t="n">
        <v>0.0042</v>
      </c>
      <c r="S368" s="0" t="n">
        <v>0.0044</v>
      </c>
      <c r="T368" s="0" t="n">
        <v>-1</v>
      </c>
      <c r="U368" s="0" t="n">
        <v>0.0041</v>
      </c>
      <c r="V368" s="0" t="s">
        <v>46</v>
      </c>
      <c r="W368" s="0" t="s">
        <v>46</v>
      </c>
      <c r="X368" s="0" t="s">
        <v>47</v>
      </c>
      <c r="Y368" s="0" t="s">
        <v>48</v>
      </c>
      <c r="Z368" s="0" t="s">
        <v>46</v>
      </c>
      <c r="AA368" s="0" t="s">
        <v>46</v>
      </c>
      <c r="AB368" s="0" t="s">
        <v>46</v>
      </c>
      <c r="AC368" s="0" t="s">
        <v>50</v>
      </c>
      <c r="AD368" s="0" t="s">
        <v>51</v>
      </c>
      <c r="AE368" s="0" t="s">
        <v>2150</v>
      </c>
      <c r="AF368" s="0" t="s">
        <v>2151</v>
      </c>
      <c r="AG368" s="0" t="s">
        <v>2152</v>
      </c>
      <c r="AH368" s="0" t="s">
        <v>46</v>
      </c>
      <c r="AI368" s="0" t="s">
        <v>46</v>
      </c>
      <c r="AJ368" s="0" t="s">
        <v>46</v>
      </c>
      <c r="AK368" s="0" t="s">
        <v>46</v>
      </c>
      <c r="AL368" s="0" t="s">
        <v>46</v>
      </c>
    </row>
    <row r="369" customFormat="false" ht="15" hidden="false" customHeight="false" outlineLevel="0" collapsed="false">
      <c r="B369" s="0" t="str">
        <f aca="false">HYPERLINK("https://genome.ucsc.edu/cgi-bin/hgTracks?db=hg19&amp;position=chr7%3A100876282%2D100876282", "chr7:100876282")</f>
        <v>chr7:100876282</v>
      </c>
      <c r="C369" s="0" t="s">
        <v>38</v>
      </c>
      <c r="D369" s="0" t="n">
        <v>100876282</v>
      </c>
      <c r="E369" s="0" t="n">
        <v>100876282</v>
      </c>
      <c r="F369" s="0" t="s">
        <v>40</v>
      </c>
      <c r="G369" s="0" t="s">
        <v>82</v>
      </c>
      <c r="H369" s="0" t="s">
        <v>2153</v>
      </c>
      <c r="I369" s="0" t="s">
        <v>656</v>
      </c>
      <c r="J369" s="0" t="s">
        <v>2154</v>
      </c>
      <c r="K369" s="0" t="s">
        <v>46</v>
      </c>
      <c r="L369" s="0" t="str">
        <f aca="false">HYPERLINK("https://www.ncbi.nlm.nih.gov/snp/rs563029239", "rs563029239")</f>
        <v>rs563029239</v>
      </c>
      <c r="M369" s="0" t="str">
        <f aca="false">HYPERLINK("https://www.genecards.org/Search/Keyword?queryString=%5Baliases%5D(%20CLDN15%20)&amp;keywords=CLDN15", "CLDN15")</f>
        <v>CLDN15</v>
      </c>
      <c r="N369" s="0" t="s">
        <v>45</v>
      </c>
      <c r="O369" s="0" t="s">
        <v>46</v>
      </c>
      <c r="P369" s="0" t="s">
        <v>46</v>
      </c>
      <c r="Q369" s="0" t="n">
        <v>0.013</v>
      </c>
      <c r="R369" s="0" t="n">
        <v>0.0075</v>
      </c>
      <c r="S369" s="0" t="n">
        <v>0.0068</v>
      </c>
      <c r="T369" s="0" t="n">
        <v>-1</v>
      </c>
      <c r="U369" s="0" t="n">
        <v>0.0084</v>
      </c>
      <c r="V369" s="0" t="s">
        <v>46</v>
      </c>
      <c r="W369" s="0" t="s">
        <v>46</v>
      </c>
      <c r="X369" s="0" t="s">
        <v>47</v>
      </c>
      <c r="Y369" s="0" t="s">
        <v>48</v>
      </c>
      <c r="Z369" s="0" t="s">
        <v>46</v>
      </c>
      <c r="AA369" s="0" t="s">
        <v>46</v>
      </c>
      <c r="AB369" s="0" t="s">
        <v>46</v>
      </c>
      <c r="AC369" s="0" t="s">
        <v>50</v>
      </c>
      <c r="AD369" s="0" t="s">
        <v>51</v>
      </c>
      <c r="AE369" s="0" t="s">
        <v>2155</v>
      </c>
      <c r="AF369" s="0" t="s">
        <v>2156</v>
      </c>
      <c r="AG369" s="0" t="s">
        <v>2157</v>
      </c>
      <c r="AH369" s="0" t="s">
        <v>46</v>
      </c>
      <c r="AI369" s="0" t="s">
        <v>46</v>
      </c>
      <c r="AJ369" s="0" t="s">
        <v>46</v>
      </c>
      <c r="AK369" s="0" t="s">
        <v>46</v>
      </c>
      <c r="AL369" s="0" t="s">
        <v>46</v>
      </c>
    </row>
    <row r="370" customFormat="false" ht="15" hidden="false" customHeight="false" outlineLevel="0" collapsed="false">
      <c r="B370" s="0" t="str">
        <f aca="false">HYPERLINK("https://genome.ucsc.edu/cgi-bin/hgTracks?db=hg19&amp;position=chr7%3A103132303%2D103132303", "chr7:103132303")</f>
        <v>chr7:103132303</v>
      </c>
      <c r="C370" s="0" t="s">
        <v>38</v>
      </c>
      <c r="D370" s="0" t="n">
        <v>103132303</v>
      </c>
      <c r="E370" s="0" t="n">
        <v>103132303</v>
      </c>
      <c r="F370" s="0" t="s">
        <v>82</v>
      </c>
      <c r="G370" s="0" t="s">
        <v>57</v>
      </c>
      <c r="H370" s="0" t="s">
        <v>2158</v>
      </c>
      <c r="I370" s="0" t="s">
        <v>2159</v>
      </c>
      <c r="J370" s="0" t="s">
        <v>2160</v>
      </c>
      <c r="K370" s="0" t="s">
        <v>46</v>
      </c>
      <c r="L370" s="0" t="str">
        <f aca="false">HYPERLINK("https://www.ncbi.nlm.nih.gov/snp/rs62480386", "rs62480386")</f>
        <v>rs62480386</v>
      </c>
      <c r="M370" s="0" t="str">
        <f aca="false">HYPERLINK("https://www.genecards.org/Search/Keyword?queryString=%5Baliases%5D(%20LOC101927870%20)%20OR%20%5Baliases%5D(%20RELN%20)&amp;keywords=LOC101927870,RELN", "LOC101927870;RELN")</f>
        <v>LOC101927870;RELN</v>
      </c>
      <c r="N370" s="0" t="s">
        <v>306</v>
      </c>
      <c r="O370" s="0" t="s">
        <v>46</v>
      </c>
      <c r="P370" s="0" t="s">
        <v>46</v>
      </c>
      <c r="Q370" s="0" t="n">
        <v>0.004111</v>
      </c>
      <c r="R370" s="0" t="n">
        <v>-1</v>
      </c>
      <c r="S370" s="0" t="n">
        <v>-1</v>
      </c>
      <c r="T370" s="0" t="n">
        <v>-1</v>
      </c>
      <c r="U370" s="0" t="n">
        <v>-1</v>
      </c>
      <c r="V370" s="0" t="s">
        <v>46</v>
      </c>
      <c r="W370" s="0" t="s">
        <v>46</v>
      </c>
      <c r="X370" s="0" t="s">
        <v>307</v>
      </c>
      <c r="Y370" s="0" t="s">
        <v>48</v>
      </c>
      <c r="Z370" s="0" t="s">
        <v>46</v>
      </c>
      <c r="AA370" s="0" t="s">
        <v>46</v>
      </c>
      <c r="AB370" s="0" t="s">
        <v>46</v>
      </c>
      <c r="AC370" s="0" t="s">
        <v>50</v>
      </c>
      <c r="AD370" s="0" t="s">
        <v>576</v>
      </c>
      <c r="AE370" s="0" t="s">
        <v>2161</v>
      </c>
      <c r="AF370" s="0" t="s">
        <v>2162</v>
      </c>
      <c r="AG370" s="0" t="s">
        <v>2163</v>
      </c>
      <c r="AH370" s="0" t="s">
        <v>2164</v>
      </c>
      <c r="AI370" s="0" t="s">
        <v>46</v>
      </c>
      <c r="AJ370" s="0" t="s">
        <v>46</v>
      </c>
      <c r="AK370" s="0" t="s">
        <v>46</v>
      </c>
      <c r="AL370" s="0" t="s">
        <v>46</v>
      </c>
    </row>
    <row r="371" customFormat="false" ht="15" hidden="false" customHeight="false" outlineLevel="0" collapsed="false">
      <c r="B371" s="0" t="str">
        <f aca="false">HYPERLINK("https://genome.ucsc.edu/cgi-bin/hgTracks?db=hg19&amp;position=chr7%3A103132323%2D103132323", "chr7:103132323")</f>
        <v>chr7:103132323</v>
      </c>
      <c r="C371" s="0" t="s">
        <v>38</v>
      </c>
      <c r="D371" s="0" t="n">
        <v>103132323</v>
      </c>
      <c r="E371" s="0" t="n">
        <v>103132323</v>
      </c>
      <c r="F371" s="0" t="s">
        <v>57</v>
      </c>
      <c r="G371" s="0" t="s">
        <v>82</v>
      </c>
      <c r="H371" s="0" t="s">
        <v>2165</v>
      </c>
      <c r="I371" s="0" t="s">
        <v>367</v>
      </c>
      <c r="J371" s="0" t="s">
        <v>2166</v>
      </c>
      <c r="K371" s="0" t="s">
        <v>46</v>
      </c>
      <c r="L371" s="0" t="str">
        <f aca="false">HYPERLINK("https://www.ncbi.nlm.nih.gov/snp/rs879761256", "rs879761256")</f>
        <v>rs879761256</v>
      </c>
      <c r="M371" s="0" t="str">
        <f aca="false">HYPERLINK("https://www.genecards.org/Search/Keyword?queryString=%5Baliases%5D(%20LOC101927870%20)%20OR%20%5Baliases%5D(%20RELN%20)&amp;keywords=LOC101927870,RELN", "LOC101927870;RELN")</f>
        <v>LOC101927870;RELN</v>
      </c>
      <c r="N371" s="0" t="s">
        <v>306</v>
      </c>
      <c r="O371" s="0" t="s">
        <v>46</v>
      </c>
      <c r="P371" s="0" t="s">
        <v>46</v>
      </c>
      <c r="Q371" s="0" t="n">
        <v>0.0144</v>
      </c>
      <c r="R371" s="0" t="n">
        <v>0.0023</v>
      </c>
      <c r="S371" s="0" t="n">
        <v>0.0021</v>
      </c>
      <c r="T371" s="0" t="n">
        <v>-1</v>
      </c>
      <c r="U371" s="0" t="n">
        <v>0.0034</v>
      </c>
      <c r="V371" s="0" t="s">
        <v>46</v>
      </c>
      <c r="W371" s="0" t="s">
        <v>46</v>
      </c>
      <c r="X371" s="0" t="s">
        <v>47</v>
      </c>
      <c r="Y371" s="0" t="s">
        <v>48</v>
      </c>
      <c r="Z371" s="0" t="s">
        <v>46</v>
      </c>
      <c r="AA371" s="0" t="s">
        <v>46</v>
      </c>
      <c r="AB371" s="0" t="s">
        <v>46</v>
      </c>
      <c r="AC371" s="0" t="s">
        <v>50</v>
      </c>
      <c r="AD371" s="0" t="s">
        <v>576</v>
      </c>
      <c r="AE371" s="0" t="s">
        <v>2161</v>
      </c>
      <c r="AF371" s="0" t="s">
        <v>2162</v>
      </c>
      <c r="AG371" s="0" t="s">
        <v>2163</v>
      </c>
      <c r="AH371" s="0" t="s">
        <v>2164</v>
      </c>
      <c r="AI371" s="0" t="s">
        <v>46</v>
      </c>
      <c r="AJ371" s="0" t="s">
        <v>46</v>
      </c>
      <c r="AK371" s="0" t="s">
        <v>46</v>
      </c>
      <c r="AL371" s="0" t="s">
        <v>46</v>
      </c>
    </row>
    <row r="372" customFormat="false" ht="15" hidden="false" customHeight="false" outlineLevel="0" collapsed="false">
      <c r="B372" s="0" t="str">
        <f aca="false">HYPERLINK("https://genome.ucsc.edu/cgi-bin/hgTracks?db=hg19&amp;position=chr7%3A107738831%2D107738831", "chr7:107738831")</f>
        <v>chr7:107738831</v>
      </c>
      <c r="C372" s="0" t="s">
        <v>38</v>
      </c>
      <c r="D372" s="0" t="n">
        <v>107738831</v>
      </c>
      <c r="E372" s="0" t="n">
        <v>107738831</v>
      </c>
      <c r="F372" s="0" t="s">
        <v>40</v>
      </c>
      <c r="G372" s="0" t="s">
        <v>82</v>
      </c>
      <c r="H372" s="0" t="s">
        <v>2167</v>
      </c>
      <c r="I372" s="0" t="s">
        <v>589</v>
      </c>
      <c r="J372" s="0" t="s">
        <v>2168</v>
      </c>
      <c r="K372" s="0" t="s">
        <v>46</v>
      </c>
      <c r="L372" s="0" t="str">
        <f aca="false">HYPERLINK("https://www.ncbi.nlm.nih.gov/snp/rs769274024", "rs769274024")</f>
        <v>rs769274024</v>
      </c>
      <c r="M372" s="0" t="str">
        <f aca="false">HYPERLINK("https://www.genecards.org/Search/Keyword?queryString=%5Baliases%5D(%20LAMB4%20)&amp;keywords=LAMB4", "LAMB4")</f>
        <v>LAMB4</v>
      </c>
      <c r="N372" s="0" t="s">
        <v>45</v>
      </c>
      <c r="O372" s="0" t="s">
        <v>46</v>
      </c>
      <c r="P372" s="0" t="s">
        <v>46</v>
      </c>
      <c r="Q372" s="0" t="n">
        <v>0.0103944</v>
      </c>
      <c r="R372" s="0" t="n">
        <v>0.0002</v>
      </c>
      <c r="S372" s="0" t="n">
        <v>0.0004</v>
      </c>
      <c r="T372" s="0" t="n">
        <v>-1</v>
      </c>
      <c r="U372" s="0" t="n">
        <v>0.0004</v>
      </c>
      <c r="V372" s="0" t="s">
        <v>46</v>
      </c>
      <c r="W372" s="0" t="s">
        <v>46</v>
      </c>
      <c r="X372" s="0" t="s">
        <v>47</v>
      </c>
      <c r="Y372" s="0" t="s">
        <v>48</v>
      </c>
      <c r="Z372" s="0" t="s">
        <v>46</v>
      </c>
      <c r="AA372" s="0" t="s">
        <v>46</v>
      </c>
      <c r="AB372" s="0" t="s">
        <v>46</v>
      </c>
      <c r="AC372" s="0" t="s">
        <v>50</v>
      </c>
      <c r="AD372" s="0" t="s">
        <v>51</v>
      </c>
      <c r="AE372" s="0" t="s">
        <v>2169</v>
      </c>
      <c r="AF372" s="0" t="s">
        <v>2170</v>
      </c>
      <c r="AG372" s="0" t="s">
        <v>162</v>
      </c>
      <c r="AH372" s="0" t="s">
        <v>46</v>
      </c>
      <c r="AI372" s="0" t="s">
        <v>46</v>
      </c>
      <c r="AJ372" s="0" t="s">
        <v>46</v>
      </c>
      <c r="AK372" s="0" t="s">
        <v>46</v>
      </c>
      <c r="AL372" s="0" t="s">
        <v>46</v>
      </c>
    </row>
    <row r="373" customFormat="false" ht="15" hidden="false" customHeight="false" outlineLevel="0" collapsed="false">
      <c r="B373" s="0" t="str">
        <f aca="false">HYPERLINK("https://genome.ucsc.edu/cgi-bin/hgTracks?db=hg19&amp;position=chr7%3A129062921%2D129062921", "chr7:129062921")</f>
        <v>chr7:129062921</v>
      </c>
      <c r="C373" s="0" t="s">
        <v>38</v>
      </c>
      <c r="D373" s="0" t="n">
        <v>129062921</v>
      </c>
      <c r="E373" s="0" t="n">
        <v>129062921</v>
      </c>
      <c r="F373" s="0" t="s">
        <v>57</v>
      </c>
      <c r="G373" s="0" t="s">
        <v>39</v>
      </c>
      <c r="H373" s="0" t="s">
        <v>2171</v>
      </c>
      <c r="I373" s="0" t="s">
        <v>251</v>
      </c>
      <c r="J373" s="0" t="s">
        <v>762</v>
      </c>
      <c r="K373" s="0" t="s">
        <v>46</v>
      </c>
      <c r="L373" s="0" t="str">
        <f aca="false">HYPERLINK("https://www.ncbi.nlm.nih.gov/snp/rs1035520247", "rs1035520247")</f>
        <v>rs1035520247</v>
      </c>
      <c r="M373" s="0" t="str">
        <f aca="false">HYPERLINK("https://www.genecards.org/Search/Keyword?queryString=%5Baliases%5D(%20AHCYL2%20)&amp;keywords=AHCYL2", "AHCYL2")</f>
        <v>AHCYL2</v>
      </c>
      <c r="N373" s="0" t="s">
        <v>45</v>
      </c>
      <c r="O373" s="0" t="s">
        <v>46</v>
      </c>
      <c r="P373" s="0" t="s">
        <v>46</v>
      </c>
      <c r="Q373" s="0" t="n">
        <v>-1</v>
      </c>
      <c r="R373" s="0" t="n">
        <v>-1</v>
      </c>
      <c r="S373" s="0" t="n">
        <v>-1</v>
      </c>
      <c r="T373" s="0" t="n">
        <v>-1</v>
      </c>
      <c r="U373" s="0" t="n">
        <v>-1</v>
      </c>
      <c r="V373" s="0" t="s">
        <v>46</v>
      </c>
      <c r="W373" s="0" t="s">
        <v>46</v>
      </c>
      <c r="X373" s="0" t="s">
        <v>47</v>
      </c>
      <c r="Y373" s="0" t="s">
        <v>48</v>
      </c>
      <c r="Z373" s="0" t="s">
        <v>46</v>
      </c>
      <c r="AA373" s="0" t="s">
        <v>46</v>
      </c>
      <c r="AB373" s="0" t="s">
        <v>46</v>
      </c>
      <c r="AC373" s="0" t="s">
        <v>50</v>
      </c>
      <c r="AD373" s="0" t="s">
        <v>51</v>
      </c>
      <c r="AE373" s="0" t="s">
        <v>2172</v>
      </c>
      <c r="AF373" s="0" t="s">
        <v>2173</v>
      </c>
      <c r="AG373" s="0" t="s">
        <v>2174</v>
      </c>
      <c r="AH373" s="0" t="s">
        <v>46</v>
      </c>
      <c r="AI373" s="0" t="s">
        <v>46</v>
      </c>
      <c r="AJ373" s="0" t="s">
        <v>46</v>
      </c>
      <c r="AK373" s="0" t="s">
        <v>46</v>
      </c>
      <c r="AL373" s="0" t="s">
        <v>46</v>
      </c>
    </row>
    <row r="374" customFormat="false" ht="15" hidden="false" customHeight="false" outlineLevel="0" collapsed="false">
      <c r="B374" s="0" t="str">
        <f aca="false">HYPERLINK("https://genome.ucsc.edu/cgi-bin/hgTracks?db=hg19&amp;position=chr7%3A141763215%2D141763215", "chr7:141763215")</f>
        <v>chr7:141763215</v>
      </c>
      <c r="C374" s="0" t="s">
        <v>38</v>
      </c>
      <c r="D374" s="0" t="n">
        <v>141763215</v>
      </c>
      <c r="E374" s="0" t="n">
        <v>141763215</v>
      </c>
      <c r="F374" s="0" t="s">
        <v>57</v>
      </c>
      <c r="G374" s="0" t="s">
        <v>39</v>
      </c>
      <c r="H374" s="0" t="s">
        <v>2175</v>
      </c>
      <c r="I374" s="0" t="s">
        <v>2176</v>
      </c>
      <c r="J374" s="0" t="s">
        <v>2177</v>
      </c>
      <c r="K374" s="0" t="s">
        <v>46</v>
      </c>
      <c r="L374" s="0" t="s">
        <v>46</v>
      </c>
      <c r="M374" s="0" t="str">
        <f aca="false">HYPERLINK("https://www.genecards.org/Search/Keyword?queryString=%5Baliases%5D(%20MGAM%20)&amp;keywords=MGAM", "MGAM")</f>
        <v>MGAM</v>
      </c>
      <c r="N374" s="0" t="s">
        <v>45</v>
      </c>
      <c r="O374" s="0" t="s">
        <v>46</v>
      </c>
      <c r="P374" s="0" t="s">
        <v>46</v>
      </c>
      <c r="Q374" s="0" t="n">
        <v>-1</v>
      </c>
      <c r="R374" s="0" t="n">
        <v>-1</v>
      </c>
      <c r="S374" s="0" t="n">
        <v>-1</v>
      </c>
      <c r="T374" s="0" t="n">
        <v>-1</v>
      </c>
      <c r="U374" s="0" t="n">
        <v>-1</v>
      </c>
      <c r="V374" s="0" t="s">
        <v>46</v>
      </c>
      <c r="W374" s="0" t="s">
        <v>46</v>
      </c>
      <c r="X374" s="0" t="s">
        <v>47</v>
      </c>
      <c r="Y374" s="0" t="s">
        <v>48</v>
      </c>
      <c r="Z374" s="0" t="s">
        <v>46</v>
      </c>
      <c r="AA374" s="0" t="s">
        <v>46</v>
      </c>
      <c r="AB374" s="0" t="s">
        <v>46</v>
      </c>
      <c r="AC374" s="0" t="s">
        <v>50</v>
      </c>
      <c r="AD374" s="0" t="s">
        <v>51</v>
      </c>
      <c r="AE374" s="0" t="s">
        <v>2178</v>
      </c>
      <c r="AF374" s="0" t="s">
        <v>2179</v>
      </c>
      <c r="AG374" s="0" t="s">
        <v>2180</v>
      </c>
      <c r="AH374" s="0" t="s">
        <v>46</v>
      </c>
      <c r="AI374" s="0" t="s">
        <v>46</v>
      </c>
      <c r="AJ374" s="0" t="s">
        <v>46</v>
      </c>
      <c r="AK374" s="0" t="s">
        <v>46</v>
      </c>
      <c r="AL374" s="0" t="s">
        <v>46</v>
      </c>
    </row>
    <row r="375" s="2" customFormat="true" ht="15" hidden="false" customHeight="false" outlineLevel="0" collapsed="false">
      <c r="B375" s="2" t="str">
        <f aca="false">HYPERLINK("https://genome.ucsc.edu/cgi-bin/hgTracks?db=hg19&amp;position=chr7%3A142028606%2D142028606", "chr7:142028606")</f>
        <v>chr7:142028606</v>
      </c>
      <c r="C375" s="2" t="s">
        <v>38</v>
      </c>
      <c r="D375" s="2" t="n">
        <v>142028606</v>
      </c>
      <c r="E375" s="2" t="n">
        <v>142028606</v>
      </c>
      <c r="F375" s="2" t="s">
        <v>39</v>
      </c>
      <c r="G375" s="2" t="s">
        <v>82</v>
      </c>
      <c r="H375" s="2" t="s">
        <v>2181</v>
      </c>
      <c r="I375" s="2" t="s">
        <v>2182</v>
      </c>
      <c r="J375" s="2" t="s">
        <v>2183</v>
      </c>
      <c r="K375" s="2" t="s">
        <v>46</v>
      </c>
      <c r="L375" s="2" t="str">
        <f aca="false">HYPERLINK("https://www.ncbi.nlm.nih.gov/snp/rs374885376", "rs374885376")</f>
        <v>rs374885376</v>
      </c>
      <c r="M375" s="2" t="str">
        <f aca="false">HYPERLINK("https://www.genecards.org/Search/Keyword?queryString=%5Baliases%5D(%20T-cellreceptorIGRb14Vbeta13%20)&amp;keywords=T-cellreceptorIGRb14Vbeta13", "T-cellreceptorIGRb14Vbeta13")</f>
        <v>T-cellreceptorIGRb14Vbeta13</v>
      </c>
      <c r="N375" s="2" t="s">
        <v>1075</v>
      </c>
      <c r="O375" s="2" t="s">
        <v>76</v>
      </c>
      <c r="P375" s="2" t="s">
        <v>2184</v>
      </c>
      <c r="Q375" s="2" t="n">
        <v>0.0269</v>
      </c>
      <c r="R375" s="2" t="n">
        <v>0.0011</v>
      </c>
      <c r="S375" s="2" t="n">
        <v>0.0014</v>
      </c>
      <c r="T375" s="2" t="n">
        <v>-1</v>
      </c>
      <c r="U375" s="2" t="n">
        <v>0.0014</v>
      </c>
      <c r="V375" s="2" t="s">
        <v>46</v>
      </c>
      <c r="W375" s="2" t="s">
        <v>46</v>
      </c>
      <c r="X375" s="2" t="s">
        <v>46</v>
      </c>
      <c r="Y375" s="2" t="s">
        <v>46</v>
      </c>
      <c r="Z375" s="2" t="s">
        <v>46</v>
      </c>
      <c r="AA375" s="2" t="s">
        <v>46</v>
      </c>
      <c r="AB375" s="2" t="s">
        <v>46</v>
      </c>
      <c r="AC375" s="2" t="s">
        <v>50</v>
      </c>
      <c r="AD375" s="2" t="s">
        <v>51</v>
      </c>
      <c r="AE375" s="2" t="s">
        <v>46</v>
      </c>
      <c r="AF375" s="2" t="s">
        <v>46</v>
      </c>
      <c r="AG375" s="2" t="s">
        <v>46</v>
      </c>
      <c r="AH375" s="2" t="s">
        <v>46</v>
      </c>
      <c r="AI375" s="2" t="s">
        <v>46</v>
      </c>
      <c r="AJ375" s="2" t="s">
        <v>46</v>
      </c>
      <c r="AK375" s="2" t="s">
        <v>46</v>
      </c>
      <c r="AL375" s="2" t="s">
        <v>46</v>
      </c>
    </row>
    <row r="376" customFormat="false" ht="15" hidden="false" customHeight="false" outlineLevel="0" collapsed="false">
      <c r="B376" s="0" t="str">
        <f aca="false">HYPERLINK("https://genome.ucsc.edu/cgi-bin/hgTracks?db=hg19&amp;position=chr7%3A142458352%2D142458352", "chr7:142458352")</f>
        <v>chr7:142458352</v>
      </c>
      <c r="C376" s="0" t="s">
        <v>38</v>
      </c>
      <c r="D376" s="0" t="n">
        <v>142458352</v>
      </c>
      <c r="E376" s="0" t="n">
        <v>142458352</v>
      </c>
      <c r="F376" s="0" t="s">
        <v>40</v>
      </c>
      <c r="G376" s="0" t="s">
        <v>57</v>
      </c>
      <c r="H376" s="0" t="s">
        <v>2185</v>
      </c>
      <c r="I376" s="0" t="s">
        <v>375</v>
      </c>
      <c r="J376" s="0" t="s">
        <v>2186</v>
      </c>
      <c r="K376" s="0" t="s">
        <v>46</v>
      </c>
      <c r="L376" s="0" t="s">
        <v>46</v>
      </c>
      <c r="M376" s="0" t="str">
        <f aca="false">HYPERLINK("https://www.genecards.org/Search/Keyword?queryString=%5Baliases%5D(%20PRSS1%20)%20OR%20%5Baliases%5D(%20TCRVB%20)&amp;keywords=PRSS1,TCRVB", "PRSS1;TCRVB")</f>
        <v>PRSS1;TCRVB</v>
      </c>
      <c r="N376" s="0" t="s">
        <v>306</v>
      </c>
      <c r="O376" s="0" t="s">
        <v>46</v>
      </c>
      <c r="P376" s="0" t="s">
        <v>46</v>
      </c>
      <c r="Q376" s="0" t="n">
        <v>0.0194</v>
      </c>
      <c r="R376" s="0" t="n">
        <v>0.0011</v>
      </c>
      <c r="S376" s="0" t="n">
        <v>0.0014</v>
      </c>
      <c r="T376" s="0" t="n">
        <v>-1</v>
      </c>
      <c r="U376" s="0" t="n">
        <v>0.0014</v>
      </c>
      <c r="V376" s="0" t="s">
        <v>46</v>
      </c>
      <c r="W376" s="0" t="s">
        <v>46</v>
      </c>
      <c r="X376" s="0" t="s">
        <v>307</v>
      </c>
      <c r="Y376" s="0" t="s">
        <v>48</v>
      </c>
      <c r="Z376" s="0" t="s">
        <v>46</v>
      </c>
      <c r="AA376" s="0" t="s">
        <v>46</v>
      </c>
      <c r="AB376" s="0" t="s">
        <v>46</v>
      </c>
      <c r="AC376" s="0" t="s">
        <v>50</v>
      </c>
      <c r="AD376" s="0" t="s">
        <v>2187</v>
      </c>
      <c r="AE376" s="0" t="s">
        <v>2188</v>
      </c>
      <c r="AF376" s="0" t="s">
        <v>2189</v>
      </c>
      <c r="AG376" s="0" t="s">
        <v>2190</v>
      </c>
      <c r="AH376" s="0" t="s">
        <v>2191</v>
      </c>
      <c r="AI376" s="0" t="s">
        <v>46</v>
      </c>
      <c r="AJ376" s="0" t="s">
        <v>46</v>
      </c>
      <c r="AK376" s="0" t="s">
        <v>46</v>
      </c>
      <c r="AL376" s="0" t="s">
        <v>487</v>
      </c>
    </row>
    <row r="377" customFormat="false" ht="15" hidden="false" customHeight="false" outlineLevel="0" collapsed="false">
      <c r="B377" s="0" t="str">
        <f aca="false">HYPERLINK("https://genome.ucsc.edu/cgi-bin/hgTracks?db=hg19&amp;position=chr7%3A142459943%2D142459943", "chr7:142459943")</f>
        <v>chr7:142459943</v>
      </c>
      <c r="C377" s="0" t="s">
        <v>38</v>
      </c>
      <c r="D377" s="0" t="n">
        <v>142459943</v>
      </c>
      <c r="E377" s="0" t="n">
        <v>142459943</v>
      </c>
      <c r="F377" s="0" t="s">
        <v>40</v>
      </c>
      <c r="G377" s="0" t="s">
        <v>39</v>
      </c>
      <c r="H377" s="0" t="s">
        <v>2192</v>
      </c>
      <c r="I377" s="0" t="s">
        <v>73</v>
      </c>
      <c r="J377" s="0" t="s">
        <v>2193</v>
      </c>
      <c r="K377" s="0" t="s">
        <v>46</v>
      </c>
      <c r="L377" s="0" t="s">
        <v>46</v>
      </c>
      <c r="M377" s="0" t="str">
        <f aca="false">HYPERLINK("https://www.genecards.org/Search/Keyword?queryString=%5Baliases%5D(%20PRSS1%20)%20OR%20%5Baliases%5D(%20TCRVB%20)&amp;keywords=PRSS1,TCRVB", "PRSS1;TCRVB")</f>
        <v>PRSS1;TCRVB</v>
      </c>
      <c r="N377" s="0" t="s">
        <v>306</v>
      </c>
      <c r="O377" s="0" t="s">
        <v>46</v>
      </c>
      <c r="P377" s="0" t="s">
        <v>46</v>
      </c>
      <c r="Q377" s="0" t="n">
        <v>3.84E-005</v>
      </c>
      <c r="R377" s="0" t="n">
        <v>-1</v>
      </c>
      <c r="S377" s="0" t="n">
        <v>-1</v>
      </c>
      <c r="T377" s="0" t="n">
        <v>-1</v>
      </c>
      <c r="U377" s="0" t="n">
        <v>-1</v>
      </c>
      <c r="V377" s="0" t="s">
        <v>46</v>
      </c>
      <c r="W377" s="0" t="s">
        <v>46</v>
      </c>
      <c r="X377" s="0" t="s">
        <v>307</v>
      </c>
      <c r="Y377" s="0" t="s">
        <v>48</v>
      </c>
      <c r="Z377" s="0" t="s">
        <v>46</v>
      </c>
      <c r="AA377" s="0" t="s">
        <v>46</v>
      </c>
      <c r="AB377" s="0" t="s">
        <v>46</v>
      </c>
      <c r="AC377" s="0" t="s">
        <v>50</v>
      </c>
      <c r="AD377" s="0" t="s">
        <v>2187</v>
      </c>
      <c r="AE377" s="0" t="s">
        <v>2188</v>
      </c>
      <c r="AF377" s="0" t="s">
        <v>2189</v>
      </c>
      <c r="AG377" s="0" t="s">
        <v>2190</v>
      </c>
      <c r="AH377" s="0" t="s">
        <v>2191</v>
      </c>
      <c r="AI377" s="0" t="s">
        <v>46</v>
      </c>
      <c r="AJ377" s="0" t="s">
        <v>46</v>
      </c>
      <c r="AK377" s="0" t="s">
        <v>46</v>
      </c>
      <c r="AL377" s="0" t="s">
        <v>46</v>
      </c>
    </row>
    <row r="378" customFormat="false" ht="15" hidden="false" customHeight="false" outlineLevel="0" collapsed="false">
      <c r="B378" s="0" t="str">
        <f aca="false">HYPERLINK("https://genome.ucsc.edu/cgi-bin/hgTracks?db=hg19&amp;position=chr7%3A142459949%2D142459949", "chr7:142459949")</f>
        <v>chr7:142459949</v>
      </c>
      <c r="C378" s="0" t="s">
        <v>38</v>
      </c>
      <c r="D378" s="0" t="n">
        <v>142459949</v>
      </c>
      <c r="E378" s="0" t="n">
        <v>142459949</v>
      </c>
      <c r="F378" s="0" t="s">
        <v>40</v>
      </c>
      <c r="G378" s="0" t="s">
        <v>82</v>
      </c>
      <c r="H378" s="0" t="s">
        <v>1205</v>
      </c>
      <c r="I378" s="0" t="s">
        <v>84</v>
      </c>
      <c r="J378" s="0" t="s">
        <v>2194</v>
      </c>
      <c r="K378" s="0" t="s">
        <v>46</v>
      </c>
      <c r="L378" s="0" t="str">
        <f aca="false">HYPERLINK("https://www.ncbi.nlm.nih.gov/snp/rs1047802043", "rs1047802043")</f>
        <v>rs1047802043</v>
      </c>
      <c r="M378" s="0" t="str">
        <f aca="false">HYPERLINK("https://www.genecards.org/Search/Keyword?queryString=%5Baliases%5D(%20PRSS1%20)%20OR%20%5Baliases%5D(%20TCRVB%20)&amp;keywords=PRSS1,TCRVB", "PRSS1;TCRVB")</f>
        <v>PRSS1;TCRVB</v>
      </c>
      <c r="N378" s="0" t="s">
        <v>306</v>
      </c>
      <c r="O378" s="0" t="s">
        <v>46</v>
      </c>
      <c r="P378" s="0" t="s">
        <v>46</v>
      </c>
      <c r="Q378" s="0" t="n">
        <v>3.84E-005</v>
      </c>
      <c r="R378" s="0" t="n">
        <v>-1</v>
      </c>
      <c r="S378" s="0" t="n">
        <v>-1</v>
      </c>
      <c r="T378" s="0" t="n">
        <v>-1</v>
      </c>
      <c r="U378" s="0" t="n">
        <v>-1</v>
      </c>
      <c r="V378" s="0" t="s">
        <v>46</v>
      </c>
      <c r="W378" s="0" t="s">
        <v>46</v>
      </c>
      <c r="X378" s="0" t="s">
        <v>307</v>
      </c>
      <c r="Y378" s="0" t="s">
        <v>48</v>
      </c>
      <c r="Z378" s="0" t="s">
        <v>46</v>
      </c>
      <c r="AA378" s="0" t="s">
        <v>46</v>
      </c>
      <c r="AB378" s="0" t="s">
        <v>46</v>
      </c>
      <c r="AC378" s="0" t="s">
        <v>50</v>
      </c>
      <c r="AD378" s="0" t="s">
        <v>2187</v>
      </c>
      <c r="AE378" s="0" t="s">
        <v>2188</v>
      </c>
      <c r="AF378" s="0" t="s">
        <v>2189</v>
      </c>
      <c r="AG378" s="0" t="s">
        <v>2190</v>
      </c>
      <c r="AH378" s="0" t="s">
        <v>2191</v>
      </c>
      <c r="AI378" s="0" t="s">
        <v>571</v>
      </c>
      <c r="AJ378" s="0" t="s">
        <v>46</v>
      </c>
      <c r="AK378" s="0" t="s">
        <v>46</v>
      </c>
      <c r="AL378" s="0" t="s">
        <v>46</v>
      </c>
    </row>
    <row r="379" customFormat="false" ht="15" hidden="false" customHeight="false" outlineLevel="0" collapsed="false">
      <c r="B379" s="0" t="str">
        <f aca="false">HYPERLINK("https://genome.ucsc.edu/cgi-bin/hgTracks?db=hg19&amp;position=chr7%3A142459950%2D142459950", "chr7:142459950")</f>
        <v>chr7:142459950</v>
      </c>
      <c r="C379" s="0" t="s">
        <v>38</v>
      </c>
      <c r="D379" s="0" t="n">
        <v>142459950</v>
      </c>
      <c r="E379" s="0" t="n">
        <v>142459950</v>
      </c>
      <c r="F379" s="0" t="s">
        <v>82</v>
      </c>
      <c r="G379" s="0" t="s">
        <v>39</v>
      </c>
      <c r="H379" s="0" t="s">
        <v>2195</v>
      </c>
      <c r="I379" s="0" t="s">
        <v>2196</v>
      </c>
      <c r="J379" s="0" t="s">
        <v>2197</v>
      </c>
      <c r="K379" s="0" t="s">
        <v>46</v>
      </c>
      <c r="L379" s="0" t="str">
        <f aca="false">HYPERLINK("https://www.ncbi.nlm.nih.gov/snp/rs891274050", "rs891274050")</f>
        <v>rs891274050</v>
      </c>
      <c r="M379" s="0" t="str">
        <f aca="false">HYPERLINK("https://www.genecards.org/Search/Keyword?queryString=%5Baliases%5D(%20PRSS1%20)%20OR%20%5Baliases%5D(%20TCRVB%20)&amp;keywords=PRSS1,TCRVB", "PRSS1;TCRVB")</f>
        <v>PRSS1;TCRVB</v>
      </c>
      <c r="N379" s="0" t="s">
        <v>306</v>
      </c>
      <c r="O379" s="0" t="s">
        <v>46</v>
      </c>
      <c r="P379" s="0" t="s">
        <v>46</v>
      </c>
      <c r="Q379" s="0" t="n">
        <v>3.84E-005</v>
      </c>
      <c r="R379" s="0" t="n">
        <v>-1</v>
      </c>
      <c r="S379" s="0" t="n">
        <v>-1</v>
      </c>
      <c r="T379" s="0" t="n">
        <v>-1</v>
      </c>
      <c r="U379" s="0" t="n">
        <v>-1</v>
      </c>
      <c r="V379" s="0" t="s">
        <v>46</v>
      </c>
      <c r="W379" s="0" t="s">
        <v>46</v>
      </c>
      <c r="X379" s="0" t="s">
        <v>307</v>
      </c>
      <c r="Y379" s="0" t="s">
        <v>48</v>
      </c>
      <c r="Z379" s="0" t="s">
        <v>46</v>
      </c>
      <c r="AA379" s="0" t="s">
        <v>46</v>
      </c>
      <c r="AB379" s="0" t="s">
        <v>46</v>
      </c>
      <c r="AC379" s="0" t="s">
        <v>50</v>
      </c>
      <c r="AD379" s="0" t="s">
        <v>2187</v>
      </c>
      <c r="AE379" s="0" t="s">
        <v>2188</v>
      </c>
      <c r="AF379" s="0" t="s">
        <v>2189</v>
      </c>
      <c r="AG379" s="0" t="s">
        <v>2190</v>
      </c>
      <c r="AH379" s="0" t="s">
        <v>2191</v>
      </c>
      <c r="AI379" s="0" t="s">
        <v>571</v>
      </c>
      <c r="AJ379" s="0" t="s">
        <v>46</v>
      </c>
      <c r="AK379" s="0" t="s">
        <v>46</v>
      </c>
      <c r="AL379" s="0" t="s">
        <v>46</v>
      </c>
    </row>
    <row r="380" customFormat="false" ht="15" hidden="false" customHeight="false" outlineLevel="0" collapsed="false">
      <c r="B380" s="0" t="str">
        <f aca="false">HYPERLINK("https://genome.ucsc.edu/cgi-bin/hgTracks?db=hg19&amp;position=chr7%3A142459964%2D142459964", "chr7:142459964")</f>
        <v>chr7:142459964</v>
      </c>
      <c r="C380" s="0" t="s">
        <v>38</v>
      </c>
      <c r="D380" s="0" t="n">
        <v>142459964</v>
      </c>
      <c r="E380" s="0" t="n">
        <v>142459964</v>
      </c>
      <c r="F380" s="0" t="s">
        <v>40</v>
      </c>
      <c r="G380" s="0" t="s">
        <v>82</v>
      </c>
      <c r="H380" s="0" t="s">
        <v>2198</v>
      </c>
      <c r="I380" s="0" t="s">
        <v>2199</v>
      </c>
      <c r="J380" s="0" t="s">
        <v>2200</v>
      </c>
      <c r="K380" s="0" t="s">
        <v>46</v>
      </c>
      <c r="L380" s="0" t="str">
        <f aca="false">HYPERLINK("https://www.ncbi.nlm.nih.gov/snp/rs578172734", "rs578172734")</f>
        <v>rs578172734</v>
      </c>
      <c r="M380" s="0" t="str">
        <f aca="false">HYPERLINK("https://www.genecards.org/Search/Keyword?queryString=%5Baliases%5D(%20PRSS1%20)%20OR%20%5Baliases%5D(%20TCRVB%20)&amp;keywords=PRSS1,TCRVB", "PRSS1;TCRVB")</f>
        <v>PRSS1;TCRVB</v>
      </c>
      <c r="N380" s="0" t="s">
        <v>306</v>
      </c>
      <c r="O380" s="0" t="s">
        <v>46</v>
      </c>
      <c r="P380" s="0" t="s">
        <v>46</v>
      </c>
      <c r="Q380" s="0" t="n">
        <v>3.84E-005</v>
      </c>
      <c r="R380" s="0" t="n">
        <v>-1</v>
      </c>
      <c r="S380" s="0" t="n">
        <v>-1</v>
      </c>
      <c r="T380" s="0" t="n">
        <v>-1</v>
      </c>
      <c r="U380" s="0" t="n">
        <v>-1</v>
      </c>
      <c r="V380" s="0" t="s">
        <v>46</v>
      </c>
      <c r="W380" s="0" t="s">
        <v>46</v>
      </c>
      <c r="X380" s="0" t="s">
        <v>307</v>
      </c>
      <c r="Y380" s="0" t="s">
        <v>48</v>
      </c>
      <c r="Z380" s="0" t="s">
        <v>46</v>
      </c>
      <c r="AA380" s="0" t="s">
        <v>46</v>
      </c>
      <c r="AB380" s="0" t="s">
        <v>46</v>
      </c>
      <c r="AC380" s="0" t="s">
        <v>50</v>
      </c>
      <c r="AD380" s="0" t="s">
        <v>2187</v>
      </c>
      <c r="AE380" s="0" t="s">
        <v>2188</v>
      </c>
      <c r="AF380" s="0" t="s">
        <v>2189</v>
      </c>
      <c r="AG380" s="0" t="s">
        <v>2190</v>
      </c>
      <c r="AH380" s="0" t="s">
        <v>2191</v>
      </c>
      <c r="AI380" s="0" t="s">
        <v>571</v>
      </c>
      <c r="AJ380" s="0" t="s">
        <v>46</v>
      </c>
      <c r="AK380" s="0" t="s">
        <v>46</v>
      </c>
      <c r="AL380" s="0" t="s">
        <v>46</v>
      </c>
    </row>
    <row r="381" customFormat="false" ht="15" hidden="false" customHeight="false" outlineLevel="0" collapsed="false">
      <c r="B381" s="0" t="str">
        <f aca="false">HYPERLINK("https://genome.ucsc.edu/cgi-bin/hgTracks?db=hg19&amp;position=chr7%3A142459967%2D142459967", "chr7:142459967")</f>
        <v>chr7:142459967</v>
      </c>
      <c r="C381" s="0" t="s">
        <v>38</v>
      </c>
      <c r="D381" s="0" t="n">
        <v>142459967</v>
      </c>
      <c r="E381" s="0" t="n">
        <v>142459967</v>
      </c>
      <c r="F381" s="0" t="s">
        <v>40</v>
      </c>
      <c r="G381" s="0" t="s">
        <v>82</v>
      </c>
      <c r="H381" s="0" t="s">
        <v>2201</v>
      </c>
      <c r="I381" s="0" t="s">
        <v>2202</v>
      </c>
      <c r="J381" s="0" t="s">
        <v>2203</v>
      </c>
      <c r="K381" s="0" t="s">
        <v>46</v>
      </c>
      <c r="L381" s="0" t="str">
        <f aca="false">HYPERLINK("https://www.ncbi.nlm.nih.gov/snp/rs1011551403", "rs1011551403")</f>
        <v>rs1011551403</v>
      </c>
      <c r="M381" s="0" t="str">
        <f aca="false">HYPERLINK("https://www.genecards.org/Search/Keyword?queryString=%5Baliases%5D(%20PRSS1%20)%20OR%20%5Baliases%5D(%20TCRVB%20)&amp;keywords=PRSS1,TCRVB", "PRSS1;TCRVB")</f>
        <v>PRSS1;TCRVB</v>
      </c>
      <c r="N381" s="0" t="s">
        <v>306</v>
      </c>
      <c r="O381" s="0" t="s">
        <v>46</v>
      </c>
      <c r="P381" s="0" t="s">
        <v>46</v>
      </c>
      <c r="Q381" s="0" t="n">
        <v>3.84E-005</v>
      </c>
      <c r="R381" s="0" t="n">
        <v>-1</v>
      </c>
      <c r="S381" s="0" t="n">
        <v>-1</v>
      </c>
      <c r="T381" s="0" t="n">
        <v>-1</v>
      </c>
      <c r="U381" s="0" t="n">
        <v>-1</v>
      </c>
      <c r="V381" s="0" t="s">
        <v>46</v>
      </c>
      <c r="W381" s="0" t="s">
        <v>46</v>
      </c>
      <c r="X381" s="0" t="s">
        <v>307</v>
      </c>
      <c r="Y381" s="0" t="s">
        <v>48</v>
      </c>
      <c r="Z381" s="0" t="s">
        <v>46</v>
      </c>
      <c r="AA381" s="0" t="s">
        <v>46</v>
      </c>
      <c r="AB381" s="0" t="s">
        <v>46</v>
      </c>
      <c r="AC381" s="0" t="s">
        <v>50</v>
      </c>
      <c r="AD381" s="0" t="s">
        <v>2187</v>
      </c>
      <c r="AE381" s="0" t="s">
        <v>2188</v>
      </c>
      <c r="AF381" s="0" t="s">
        <v>2189</v>
      </c>
      <c r="AG381" s="0" t="s">
        <v>2190</v>
      </c>
      <c r="AH381" s="0" t="s">
        <v>2191</v>
      </c>
      <c r="AI381" s="0" t="s">
        <v>46</v>
      </c>
      <c r="AJ381" s="0" t="s">
        <v>46</v>
      </c>
      <c r="AK381" s="0" t="s">
        <v>46</v>
      </c>
      <c r="AL381" s="0" t="s">
        <v>46</v>
      </c>
    </row>
    <row r="382" customFormat="false" ht="15" hidden="false" customHeight="false" outlineLevel="0" collapsed="false">
      <c r="B382" s="0" t="str">
        <f aca="false">HYPERLINK("https://genome.ucsc.edu/cgi-bin/hgTracks?db=hg19&amp;position=chr7%3A142460045%2D142460045", "chr7:142460045")</f>
        <v>chr7:142460045</v>
      </c>
      <c r="C382" s="0" t="s">
        <v>38</v>
      </c>
      <c r="D382" s="0" t="n">
        <v>142460045</v>
      </c>
      <c r="E382" s="0" t="n">
        <v>142460045</v>
      </c>
      <c r="F382" s="0" t="s">
        <v>40</v>
      </c>
      <c r="G382" s="0" t="s">
        <v>82</v>
      </c>
      <c r="H382" s="0" t="s">
        <v>2204</v>
      </c>
      <c r="I382" s="0" t="s">
        <v>1433</v>
      </c>
      <c r="J382" s="0" t="s">
        <v>2205</v>
      </c>
      <c r="K382" s="0" t="s">
        <v>46</v>
      </c>
      <c r="L382" s="0" t="str">
        <f aca="false">HYPERLINK("https://www.ncbi.nlm.nih.gov/snp/rs367991574", "rs367991574")</f>
        <v>rs367991574</v>
      </c>
      <c r="M382" s="0" t="str">
        <f aca="false">HYPERLINK("https://www.genecards.org/Search/Keyword?queryString=%5Baliases%5D(%20PRSS1%20)%20OR%20%5Baliases%5D(%20TCRVB%20)&amp;keywords=PRSS1,TCRVB", "PRSS1;TCRVB")</f>
        <v>PRSS1;TCRVB</v>
      </c>
      <c r="N382" s="0" t="s">
        <v>306</v>
      </c>
      <c r="O382" s="0" t="s">
        <v>46</v>
      </c>
      <c r="P382" s="0" t="s">
        <v>46</v>
      </c>
      <c r="Q382" s="0" t="n">
        <v>0.000461</v>
      </c>
      <c r="R382" s="0" t="n">
        <v>-1</v>
      </c>
      <c r="S382" s="0" t="n">
        <v>-1</v>
      </c>
      <c r="T382" s="0" t="n">
        <v>-1</v>
      </c>
      <c r="U382" s="0" t="n">
        <v>-1</v>
      </c>
      <c r="V382" s="0" t="s">
        <v>46</v>
      </c>
      <c r="W382" s="0" t="s">
        <v>46</v>
      </c>
      <c r="X382" s="0" t="s">
        <v>307</v>
      </c>
      <c r="Y382" s="0" t="s">
        <v>48</v>
      </c>
      <c r="Z382" s="0" t="s">
        <v>46</v>
      </c>
      <c r="AA382" s="0" t="s">
        <v>46</v>
      </c>
      <c r="AB382" s="0" t="s">
        <v>46</v>
      </c>
      <c r="AC382" s="0" t="s">
        <v>50</v>
      </c>
      <c r="AD382" s="0" t="s">
        <v>2187</v>
      </c>
      <c r="AE382" s="0" t="s">
        <v>2188</v>
      </c>
      <c r="AF382" s="0" t="s">
        <v>2189</v>
      </c>
      <c r="AG382" s="0" t="s">
        <v>2190</v>
      </c>
      <c r="AH382" s="0" t="s">
        <v>2191</v>
      </c>
      <c r="AI382" s="0" t="s">
        <v>46</v>
      </c>
      <c r="AJ382" s="0" t="s">
        <v>46</v>
      </c>
      <c r="AK382" s="0" t="s">
        <v>46</v>
      </c>
      <c r="AL382" s="0" t="s">
        <v>46</v>
      </c>
    </row>
    <row r="383" customFormat="false" ht="15" hidden="false" customHeight="false" outlineLevel="0" collapsed="false">
      <c r="B383" s="0" t="str">
        <f aca="false">HYPERLINK("https://genome.ucsc.edu/cgi-bin/hgTracks?db=hg19&amp;position=chr7%3A142460046%2D142460046", "chr7:142460046")</f>
        <v>chr7:142460046</v>
      </c>
      <c r="C383" s="0" t="s">
        <v>38</v>
      </c>
      <c r="D383" s="0" t="n">
        <v>142460046</v>
      </c>
      <c r="E383" s="0" t="n">
        <v>142460046</v>
      </c>
      <c r="F383" s="0" t="s">
        <v>82</v>
      </c>
      <c r="G383" s="0" t="s">
        <v>39</v>
      </c>
      <c r="H383" s="0" t="s">
        <v>2204</v>
      </c>
      <c r="I383" s="0" t="s">
        <v>1433</v>
      </c>
      <c r="J383" s="0" t="s">
        <v>2205</v>
      </c>
      <c r="K383" s="0" t="s">
        <v>46</v>
      </c>
      <c r="L383" s="0" t="str">
        <f aca="false">HYPERLINK("https://www.ncbi.nlm.nih.gov/snp/rs371778638", "rs371778638")</f>
        <v>rs371778638</v>
      </c>
      <c r="M383" s="0" t="str">
        <f aca="false">HYPERLINK("https://www.genecards.org/Search/Keyword?queryString=%5Baliases%5D(%20PRSS1%20)%20OR%20%5Baliases%5D(%20TCRVB%20)&amp;keywords=PRSS1,TCRVB", "PRSS1;TCRVB")</f>
        <v>PRSS1;TCRVB</v>
      </c>
      <c r="N383" s="0" t="s">
        <v>306</v>
      </c>
      <c r="O383" s="0" t="s">
        <v>46</v>
      </c>
      <c r="P383" s="0" t="s">
        <v>46</v>
      </c>
      <c r="Q383" s="0" t="n">
        <v>0.0004226</v>
      </c>
      <c r="R383" s="0" t="n">
        <v>-1</v>
      </c>
      <c r="S383" s="0" t="n">
        <v>-1</v>
      </c>
      <c r="T383" s="0" t="n">
        <v>-1</v>
      </c>
      <c r="U383" s="0" t="n">
        <v>-1</v>
      </c>
      <c r="V383" s="0" t="s">
        <v>46</v>
      </c>
      <c r="W383" s="0" t="s">
        <v>46</v>
      </c>
      <c r="X383" s="0" t="s">
        <v>307</v>
      </c>
      <c r="Y383" s="0" t="s">
        <v>48</v>
      </c>
      <c r="Z383" s="0" t="s">
        <v>46</v>
      </c>
      <c r="AA383" s="0" t="s">
        <v>46</v>
      </c>
      <c r="AB383" s="0" t="s">
        <v>46</v>
      </c>
      <c r="AC383" s="0" t="s">
        <v>50</v>
      </c>
      <c r="AD383" s="0" t="s">
        <v>2187</v>
      </c>
      <c r="AE383" s="0" t="s">
        <v>2188</v>
      </c>
      <c r="AF383" s="0" t="s">
        <v>2189</v>
      </c>
      <c r="AG383" s="0" t="s">
        <v>2190</v>
      </c>
      <c r="AH383" s="0" t="s">
        <v>2191</v>
      </c>
      <c r="AI383" s="0" t="s">
        <v>46</v>
      </c>
      <c r="AJ383" s="0" t="s">
        <v>46</v>
      </c>
      <c r="AK383" s="0" t="s">
        <v>46</v>
      </c>
      <c r="AL383" s="0" t="s">
        <v>46</v>
      </c>
    </row>
    <row r="384" customFormat="false" ht="15" hidden="false" customHeight="false" outlineLevel="0" collapsed="false">
      <c r="B384" s="0" t="str">
        <f aca="false">HYPERLINK("https://genome.ucsc.edu/cgi-bin/hgTracks?db=hg19&amp;position=chr7%3A142460255%2D142460255", "chr7:142460255")</f>
        <v>chr7:142460255</v>
      </c>
      <c r="C384" s="0" t="s">
        <v>38</v>
      </c>
      <c r="D384" s="0" t="n">
        <v>142460255</v>
      </c>
      <c r="E384" s="0" t="n">
        <v>142460255</v>
      </c>
      <c r="F384" s="0" t="s">
        <v>40</v>
      </c>
      <c r="G384" s="0" t="s">
        <v>185</v>
      </c>
      <c r="H384" s="0" t="s">
        <v>2206</v>
      </c>
      <c r="I384" s="0" t="s">
        <v>2207</v>
      </c>
      <c r="J384" s="0" t="s">
        <v>2208</v>
      </c>
      <c r="K384" s="0" t="s">
        <v>46</v>
      </c>
      <c r="L384" s="0" t="str">
        <f aca="false">HYPERLINK("https://www.ncbi.nlm.nih.gov/snp/rs376880201", "rs376880201")</f>
        <v>rs376880201</v>
      </c>
      <c r="M384" s="0" t="str">
        <f aca="false">HYPERLINK("https://www.genecards.org/Search/Keyword?queryString=%5Baliases%5D(%20PRSS1%20)%20OR%20%5Baliases%5D(%20TCRVB%20)&amp;keywords=PRSS1,TCRVB", "PRSS1;TCRVB")</f>
        <v>PRSS1;TCRVB</v>
      </c>
      <c r="N384" s="0" t="s">
        <v>306</v>
      </c>
      <c r="O384" s="0" t="s">
        <v>46</v>
      </c>
      <c r="P384" s="0" t="s">
        <v>46</v>
      </c>
      <c r="Q384" s="0" t="n">
        <v>0.0051</v>
      </c>
      <c r="R384" s="0" t="n">
        <v>0.0053</v>
      </c>
      <c r="S384" s="0" t="n">
        <v>0.0051</v>
      </c>
      <c r="T384" s="0" t="n">
        <v>-1</v>
      </c>
      <c r="U384" s="0" t="n">
        <v>0.0033</v>
      </c>
      <c r="V384" s="0" t="s">
        <v>46</v>
      </c>
      <c r="W384" s="0" t="s">
        <v>46</v>
      </c>
      <c r="X384" s="0" t="s">
        <v>46</v>
      </c>
      <c r="Y384" s="0" t="s">
        <v>46</v>
      </c>
      <c r="Z384" s="0" t="s">
        <v>46</v>
      </c>
      <c r="AA384" s="0" t="s">
        <v>46</v>
      </c>
      <c r="AB384" s="0" t="s">
        <v>46</v>
      </c>
      <c r="AC384" s="0" t="s">
        <v>50</v>
      </c>
      <c r="AD384" s="0" t="s">
        <v>2187</v>
      </c>
      <c r="AE384" s="0" t="s">
        <v>2188</v>
      </c>
      <c r="AF384" s="0" t="s">
        <v>2189</v>
      </c>
      <c r="AG384" s="0" t="s">
        <v>2190</v>
      </c>
      <c r="AH384" s="0" t="s">
        <v>2191</v>
      </c>
      <c r="AI384" s="0" t="s">
        <v>46</v>
      </c>
      <c r="AJ384" s="0" t="s">
        <v>46</v>
      </c>
      <c r="AK384" s="0" t="s">
        <v>46</v>
      </c>
      <c r="AL384" s="0" t="s">
        <v>46</v>
      </c>
    </row>
    <row r="385" customFormat="false" ht="15" hidden="false" customHeight="false" outlineLevel="0" collapsed="false">
      <c r="B385" s="0" t="str">
        <f aca="false">HYPERLINK("https://genome.ucsc.edu/cgi-bin/hgTracks?db=hg19&amp;position=chr7%3A142460614%2D142460614", "chr7:142460614")</f>
        <v>chr7:142460614</v>
      </c>
      <c r="C385" s="0" t="s">
        <v>38</v>
      </c>
      <c r="D385" s="0" t="n">
        <v>142460614</v>
      </c>
      <c r="E385" s="0" t="n">
        <v>142460614</v>
      </c>
      <c r="F385" s="0" t="s">
        <v>57</v>
      </c>
      <c r="G385" s="0" t="s">
        <v>39</v>
      </c>
      <c r="H385" s="0" t="s">
        <v>2209</v>
      </c>
      <c r="I385" s="0" t="s">
        <v>1301</v>
      </c>
      <c r="J385" s="0" t="s">
        <v>2210</v>
      </c>
      <c r="K385" s="0" t="s">
        <v>46</v>
      </c>
      <c r="L385" s="0" t="str">
        <f aca="false">HYPERLINK("https://www.ncbi.nlm.nih.gov/snp/rs373440695", "rs373440695")</f>
        <v>rs373440695</v>
      </c>
      <c r="M385" s="0" t="str">
        <f aca="false">HYPERLINK("https://www.genecards.org/Search/Keyword?queryString=%5Baliases%5D(%20PRSS1%20)%20OR%20%5Baliases%5D(%20TCRVB%20)&amp;keywords=PRSS1,TCRVB", "PRSS1;TCRVB")</f>
        <v>PRSS1;TCRVB</v>
      </c>
      <c r="N385" s="0" t="s">
        <v>306</v>
      </c>
      <c r="O385" s="0" t="s">
        <v>46</v>
      </c>
      <c r="P385" s="0" t="s">
        <v>46</v>
      </c>
      <c r="Q385" s="0" t="n">
        <v>0.026273</v>
      </c>
      <c r="R385" s="0" t="n">
        <v>-1</v>
      </c>
      <c r="S385" s="0" t="n">
        <v>-1</v>
      </c>
      <c r="T385" s="0" t="n">
        <v>-1</v>
      </c>
      <c r="U385" s="0" t="n">
        <v>-1</v>
      </c>
      <c r="V385" s="0" t="s">
        <v>46</v>
      </c>
      <c r="W385" s="0" t="s">
        <v>46</v>
      </c>
      <c r="X385" s="0" t="s">
        <v>307</v>
      </c>
      <c r="Y385" s="0" t="s">
        <v>48</v>
      </c>
      <c r="Z385" s="0" t="s">
        <v>46</v>
      </c>
      <c r="AA385" s="0" t="s">
        <v>46</v>
      </c>
      <c r="AB385" s="0" t="s">
        <v>46</v>
      </c>
      <c r="AC385" s="0" t="s">
        <v>50</v>
      </c>
      <c r="AD385" s="0" t="s">
        <v>2187</v>
      </c>
      <c r="AE385" s="0" t="s">
        <v>2188</v>
      </c>
      <c r="AF385" s="0" t="s">
        <v>2189</v>
      </c>
      <c r="AG385" s="0" t="s">
        <v>2190</v>
      </c>
      <c r="AH385" s="0" t="s">
        <v>2191</v>
      </c>
      <c r="AI385" s="0" t="s">
        <v>46</v>
      </c>
      <c r="AJ385" s="0" t="s">
        <v>46</v>
      </c>
      <c r="AK385" s="0" t="s">
        <v>46</v>
      </c>
      <c r="AL385" s="0" t="s">
        <v>46</v>
      </c>
    </row>
    <row r="386" customFormat="false" ht="15" hidden="false" customHeight="false" outlineLevel="0" collapsed="false">
      <c r="B386" s="0" t="str">
        <f aca="false">HYPERLINK("https://genome.ucsc.edu/cgi-bin/hgTracks?db=hg19&amp;position=chr7%3A142460642%2D142460642", "chr7:142460642")</f>
        <v>chr7:142460642</v>
      </c>
      <c r="C386" s="0" t="s">
        <v>38</v>
      </c>
      <c r="D386" s="0" t="n">
        <v>142460642</v>
      </c>
      <c r="E386" s="0" t="n">
        <v>142460642</v>
      </c>
      <c r="F386" s="0" t="s">
        <v>39</v>
      </c>
      <c r="G386" s="0" t="s">
        <v>40</v>
      </c>
      <c r="H386" s="0" t="s">
        <v>2211</v>
      </c>
      <c r="I386" s="0" t="s">
        <v>360</v>
      </c>
      <c r="J386" s="0" t="s">
        <v>2212</v>
      </c>
      <c r="K386" s="0" t="s">
        <v>46</v>
      </c>
      <c r="L386" s="0" t="str">
        <f aca="false">HYPERLINK("https://www.ncbi.nlm.nih.gov/snp/rs373536377", "rs373536377")</f>
        <v>rs373536377</v>
      </c>
      <c r="M386" s="0" t="str">
        <f aca="false">HYPERLINK("https://www.genecards.org/Search/Keyword?queryString=%5Baliases%5D(%20PRSS1%20)%20OR%20%5Baliases%5D(%20TCRVB%20)&amp;keywords=PRSS1,TCRVB", "PRSS1;TCRVB")</f>
        <v>PRSS1;TCRVB</v>
      </c>
      <c r="N386" s="0" t="s">
        <v>306</v>
      </c>
      <c r="O386" s="0" t="s">
        <v>46</v>
      </c>
      <c r="P386" s="0" t="s">
        <v>46</v>
      </c>
      <c r="Q386" s="0" t="n">
        <v>0.0022668</v>
      </c>
      <c r="R386" s="0" t="n">
        <v>-1</v>
      </c>
      <c r="S386" s="0" t="n">
        <v>-1</v>
      </c>
      <c r="T386" s="0" t="n">
        <v>-1</v>
      </c>
      <c r="U386" s="0" t="n">
        <v>-1</v>
      </c>
      <c r="V386" s="0" t="s">
        <v>46</v>
      </c>
      <c r="W386" s="0" t="s">
        <v>46</v>
      </c>
      <c r="X386" s="0" t="s">
        <v>307</v>
      </c>
      <c r="Y386" s="0" t="s">
        <v>48</v>
      </c>
      <c r="Z386" s="0" t="s">
        <v>46</v>
      </c>
      <c r="AA386" s="0" t="s">
        <v>46</v>
      </c>
      <c r="AB386" s="0" t="s">
        <v>46</v>
      </c>
      <c r="AC386" s="0" t="s">
        <v>50</v>
      </c>
      <c r="AD386" s="0" t="s">
        <v>2187</v>
      </c>
      <c r="AE386" s="0" t="s">
        <v>2188</v>
      </c>
      <c r="AF386" s="0" t="s">
        <v>2189</v>
      </c>
      <c r="AG386" s="0" t="s">
        <v>2190</v>
      </c>
      <c r="AH386" s="0" t="s">
        <v>2191</v>
      </c>
      <c r="AI386" s="0" t="s">
        <v>571</v>
      </c>
      <c r="AJ386" s="0" t="s">
        <v>46</v>
      </c>
      <c r="AK386" s="0" t="s">
        <v>46</v>
      </c>
      <c r="AL386" s="0" t="s">
        <v>46</v>
      </c>
    </row>
    <row r="387" customFormat="false" ht="15" hidden="false" customHeight="false" outlineLevel="0" collapsed="false">
      <c r="B387" s="0" t="str">
        <f aca="false">HYPERLINK("https://genome.ucsc.edu/cgi-bin/hgTracks?db=hg19&amp;position=chr7%3A142460660%2D142460660", "chr7:142460660")</f>
        <v>chr7:142460660</v>
      </c>
      <c r="C387" s="0" t="s">
        <v>38</v>
      </c>
      <c r="D387" s="0" t="n">
        <v>142460660</v>
      </c>
      <c r="E387" s="0" t="n">
        <v>142460660</v>
      </c>
      <c r="F387" s="0" t="s">
        <v>82</v>
      </c>
      <c r="G387" s="0" t="s">
        <v>40</v>
      </c>
      <c r="H387" s="0" t="s">
        <v>2213</v>
      </c>
      <c r="I387" s="0" t="s">
        <v>2202</v>
      </c>
      <c r="J387" s="0" t="s">
        <v>2214</v>
      </c>
      <c r="K387" s="0" t="s">
        <v>46</v>
      </c>
      <c r="L387" s="0" t="str">
        <f aca="false">HYPERLINK("https://www.ncbi.nlm.nih.gov/snp/rs796239652", "rs796239652")</f>
        <v>rs796239652</v>
      </c>
      <c r="M387" s="0" t="str">
        <f aca="false">HYPERLINK("https://www.genecards.org/Search/Keyword?queryString=%5Baliases%5D(%20PRSS1%20)%20OR%20%5Baliases%5D(%20TCRVB%20)&amp;keywords=PRSS1,TCRVB", "PRSS1;TCRVB")</f>
        <v>PRSS1;TCRVB</v>
      </c>
      <c r="N387" s="0" t="s">
        <v>306</v>
      </c>
      <c r="O387" s="0" t="s">
        <v>46</v>
      </c>
      <c r="P387" s="0" t="s">
        <v>46</v>
      </c>
      <c r="Q387" s="0" t="n">
        <v>0.0004226</v>
      </c>
      <c r="R387" s="0" t="n">
        <v>-1</v>
      </c>
      <c r="S387" s="0" t="n">
        <v>-1</v>
      </c>
      <c r="T387" s="0" t="n">
        <v>-1</v>
      </c>
      <c r="U387" s="0" t="n">
        <v>-1</v>
      </c>
      <c r="V387" s="0" t="s">
        <v>46</v>
      </c>
      <c r="W387" s="0" t="s">
        <v>46</v>
      </c>
      <c r="X387" s="0" t="s">
        <v>307</v>
      </c>
      <c r="Y387" s="0" t="s">
        <v>48</v>
      </c>
      <c r="Z387" s="0" t="s">
        <v>46</v>
      </c>
      <c r="AA387" s="0" t="s">
        <v>46</v>
      </c>
      <c r="AB387" s="0" t="s">
        <v>46</v>
      </c>
      <c r="AC387" s="0" t="s">
        <v>50</v>
      </c>
      <c r="AD387" s="0" t="s">
        <v>2187</v>
      </c>
      <c r="AE387" s="0" t="s">
        <v>2188</v>
      </c>
      <c r="AF387" s="0" t="s">
        <v>2189</v>
      </c>
      <c r="AG387" s="0" t="s">
        <v>2190</v>
      </c>
      <c r="AH387" s="0" t="s">
        <v>2191</v>
      </c>
      <c r="AI387" s="0" t="s">
        <v>46</v>
      </c>
      <c r="AJ387" s="0" t="s">
        <v>46</v>
      </c>
      <c r="AK387" s="0" t="s">
        <v>46</v>
      </c>
      <c r="AL387" s="0" t="s">
        <v>46</v>
      </c>
    </row>
    <row r="388" customFormat="false" ht="15" hidden="false" customHeight="false" outlineLevel="0" collapsed="false">
      <c r="B388" s="0" t="str">
        <f aca="false">HYPERLINK("https://genome.ucsc.edu/cgi-bin/hgTracks?db=hg19&amp;position=chr7%3A142470773%2D142470773", "chr7:142470773")</f>
        <v>chr7:142470773</v>
      </c>
      <c r="C388" s="0" t="s">
        <v>38</v>
      </c>
      <c r="D388" s="0" t="n">
        <v>142470773</v>
      </c>
      <c r="E388" s="0" t="n">
        <v>142470773</v>
      </c>
      <c r="F388" s="0" t="s">
        <v>57</v>
      </c>
      <c r="G388" s="0" t="s">
        <v>39</v>
      </c>
      <c r="H388" s="0" t="s">
        <v>2215</v>
      </c>
      <c r="I388" s="0" t="s">
        <v>2216</v>
      </c>
      <c r="J388" s="0" t="s">
        <v>2217</v>
      </c>
      <c r="K388" s="0" t="s">
        <v>46</v>
      </c>
      <c r="L388" s="0" t="str">
        <f aca="false">HYPERLINK("https://www.ncbi.nlm.nih.gov/snp/rs879144012", "rs879144012")</f>
        <v>rs879144012</v>
      </c>
      <c r="M388" s="0" t="str">
        <f aca="false">HYPERLINK("https://www.genecards.org/Search/Keyword?queryString=%5Baliases%5D(%20BV6S4-BJ2S2%20)%20OR%20%5Baliases%5D(%20TCRVB%20)&amp;keywords=BV6S4-BJ2S2,TCRVB", "BV6S4-BJ2S2;TCRVB")</f>
        <v>BV6S4-BJ2S2;TCRVB</v>
      </c>
      <c r="N388" s="0" t="s">
        <v>2218</v>
      </c>
      <c r="O388" s="0" t="s">
        <v>46</v>
      </c>
      <c r="P388" s="0" t="s">
        <v>2219</v>
      </c>
      <c r="Q388" s="0" t="n">
        <v>0.0006916</v>
      </c>
      <c r="R388" s="0" t="n">
        <v>-1</v>
      </c>
      <c r="S388" s="0" t="n">
        <v>-1</v>
      </c>
      <c r="T388" s="0" t="n">
        <v>-1</v>
      </c>
      <c r="U388" s="0" t="n">
        <v>-1</v>
      </c>
      <c r="V388" s="0" t="s">
        <v>46</v>
      </c>
      <c r="W388" s="0" t="s">
        <v>46</v>
      </c>
      <c r="X388" s="0" t="s">
        <v>46</v>
      </c>
      <c r="Y388" s="0" t="s">
        <v>46</v>
      </c>
      <c r="Z388" s="0" t="s">
        <v>46</v>
      </c>
      <c r="AA388" s="0" t="s">
        <v>46</v>
      </c>
      <c r="AB388" s="0" t="s">
        <v>46</v>
      </c>
      <c r="AC388" s="0" t="s">
        <v>50</v>
      </c>
      <c r="AD388" s="0" t="s">
        <v>2220</v>
      </c>
      <c r="AE388" s="0" t="s">
        <v>46</v>
      </c>
      <c r="AF388" s="0" t="s">
        <v>46</v>
      </c>
      <c r="AG388" s="0" t="s">
        <v>46</v>
      </c>
      <c r="AH388" s="0" t="s">
        <v>46</v>
      </c>
      <c r="AI388" s="0" t="s">
        <v>46</v>
      </c>
      <c r="AJ388" s="0" t="s">
        <v>46</v>
      </c>
      <c r="AK388" s="0" t="s">
        <v>46</v>
      </c>
      <c r="AL388" s="0" t="s">
        <v>46</v>
      </c>
    </row>
    <row r="389" customFormat="false" ht="15" hidden="false" customHeight="false" outlineLevel="0" collapsed="false">
      <c r="B389" s="0" t="str">
        <f aca="false">HYPERLINK("https://genome.ucsc.edu/cgi-bin/hgTracks?db=hg19&amp;position=chr7%3A147183280%2D147183281", "chr7:147183280")</f>
        <v>chr7:147183280</v>
      </c>
      <c r="C389" s="0" t="s">
        <v>38</v>
      </c>
      <c r="D389" s="0" t="n">
        <v>147183280</v>
      </c>
      <c r="E389" s="0" t="n">
        <v>147183281</v>
      </c>
      <c r="F389" s="0" t="s">
        <v>249</v>
      </c>
      <c r="G389" s="0" t="s">
        <v>185</v>
      </c>
      <c r="H389" s="0" t="s">
        <v>2221</v>
      </c>
      <c r="I389" s="0" t="s">
        <v>725</v>
      </c>
      <c r="J389" s="0" t="s">
        <v>2222</v>
      </c>
      <c r="K389" s="0" t="s">
        <v>46</v>
      </c>
      <c r="L389" s="0" t="s">
        <v>46</v>
      </c>
      <c r="M389" s="0" t="str">
        <f aca="false">HYPERLINK("https://www.genecards.org/Search/Keyword?queryString=%5Baliases%5D(%20CNTNAP2%20)%20OR%20%5Baliases%5D(%20MIR548I4%20)&amp;keywords=CNTNAP2,MIR548I4", "CNTNAP2;MIR548I4")</f>
        <v>CNTNAP2;MIR548I4</v>
      </c>
      <c r="N389" s="0" t="s">
        <v>306</v>
      </c>
      <c r="O389" s="0" t="s">
        <v>46</v>
      </c>
      <c r="P389" s="0" t="s">
        <v>46</v>
      </c>
      <c r="Q389" s="0" t="n">
        <v>-1</v>
      </c>
      <c r="R389" s="0" t="n">
        <v>-1</v>
      </c>
      <c r="S389" s="0" t="n">
        <v>-1</v>
      </c>
      <c r="T389" s="0" t="n">
        <v>-1</v>
      </c>
      <c r="U389" s="0" t="n">
        <v>-1</v>
      </c>
      <c r="V389" s="0" t="s">
        <v>46</v>
      </c>
      <c r="W389" s="0" t="s">
        <v>46</v>
      </c>
      <c r="X389" s="0" t="s">
        <v>46</v>
      </c>
      <c r="Y389" s="0" t="s">
        <v>46</v>
      </c>
      <c r="Z389" s="0" t="s">
        <v>46</v>
      </c>
      <c r="AA389" s="0" t="s">
        <v>46</v>
      </c>
      <c r="AB389" s="0" t="s">
        <v>46</v>
      </c>
      <c r="AC389" s="0" t="s">
        <v>254</v>
      </c>
      <c r="AD389" s="0" t="s">
        <v>191</v>
      </c>
      <c r="AE389" s="0" t="s">
        <v>2223</v>
      </c>
      <c r="AF389" s="0" t="s">
        <v>2224</v>
      </c>
      <c r="AG389" s="0" t="s">
        <v>2225</v>
      </c>
      <c r="AH389" s="0" t="s">
        <v>2226</v>
      </c>
      <c r="AI389" s="0" t="s">
        <v>46</v>
      </c>
      <c r="AJ389" s="0" t="s">
        <v>46</v>
      </c>
      <c r="AK389" s="0" t="s">
        <v>46</v>
      </c>
      <c r="AL389" s="0" t="s">
        <v>46</v>
      </c>
    </row>
    <row r="390" customFormat="false" ht="15" hidden="false" customHeight="false" outlineLevel="0" collapsed="false">
      <c r="B390" s="0" t="str">
        <f aca="false">HYPERLINK("https://genome.ucsc.edu/cgi-bin/hgTracks?db=hg19&amp;position=chr7%3A151926883%2D151926883", "chr7:151926883")</f>
        <v>chr7:151926883</v>
      </c>
      <c r="C390" s="0" t="s">
        <v>38</v>
      </c>
      <c r="D390" s="0" t="n">
        <v>151926883</v>
      </c>
      <c r="E390" s="0" t="n">
        <v>151926883</v>
      </c>
      <c r="F390" s="0" t="s">
        <v>82</v>
      </c>
      <c r="G390" s="0" t="s">
        <v>40</v>
      </c>
      <c r="H390" s="0" t="s">
        <v>2227</v>
      </c>
      <c r="I390" s="0" t="s">
        <v>1018</v>
      </c>
      <c r="J390" s="0" t="s">
        <v>1019</v>
      </c>
      <c r="K390" s="0" t="s">
        <v>46</v>
      </c>
      <c r="L390" s="0" t="str">
        <f aca="false">HYPERLINK("https://www.ncbi.nlm.nih.gov/snp/rs2360917", "rs2360917")</f>
        <v>rs2360917</v>
      </c>
      <c r="M390" s="0" t="str">
        <f aca="false">HYPERLINK("https://www.genecards.org/Search/Keyword?queryString=%5Baliases%5D(%20KMT2C%20)&amp;keywords=KMT2C", "KMT2C")</f>
        <v>KMT2C</v>
      </c>
      <c r="N390" s="0" t="s">
        <v>45</v>
      </c>
      <c r="O390" s="0" t="s">
        <v>46</v>
      </c>
      <c r="P390" s="0" t="s">
        <v>46</v>
      </c>
      <c r="Q390" s="0" t="n">
        <v>3.84E-005</v>
      </c>
      <c r="R390" s="0" t="n">
        <v>-1</v>
      </c>
      <c r="S390" s="0" t="n">
        <v>-1</v>
      </c>
      <c r="T390" s="0" t="n">
        <v>-1</v>
      </c>
      <c r="U390" s="0" t="n">
        <v>-1</v>
      </c>
      <c r="V390" s="0" t="s">
        <v>46</v>
      </c>
      <c r="W390" s="0" t="s">
        <v>46</v>
      </c>
      <c r="X390" s="0" t="s">
        <v>47</v>
      </c>
      <c r="Y390" s="0" t="s">
        <v>48</v>
      </c>
      <c r="Z390" s="0" t="s">
        <v>46</v>
      </c>
      <c r="AA390" s="0" t="s">
        <v>46</v>
      </c>
      <c r="AB390" s="0" t="s">
        <v>46</v>
      </c>
      <c r="AC390" s="0" t="s">
        <v>50</v>
      </c>
      <c r="AD390" s="0" t="s">
        <v>147</v>
      </c>
      <c r="AE390" s="0" t="s">
        <v>179</v>
      </c>
      <c r="AF390" s="0" t="s">
        <v>180</v>
      </c>
      <c r="AG390" s="0" t="s">
        <v>181</v>
      </c>
      <c r="AH390" s="0" t="s">
        <v>46</v>
      </c>
      <c r="AI390" s="0" t="s">
        <v>46</v>
      </c>
      <c r="AJ390" s="0" t="s">
        <v>46</v>
      </c>
      <c r="AK390" s="0" t="s">
        <v>46</v>
      </c>
      <c r="AL390" s="0" t="s">
        <v>46</v>
      </c>
    </row>
    <row r="391" customFormat="false" ht="15" hidden="false" customHeight="false" outlineLevel="0" collapsed="false">
      <c r="B391" s="0" t="str">
        <f aca="false">HYPERLINK("https://genome.ucsc.edu/cgi-bin/hgTracks?db=hg19&amp;position=chr7%3A154664144%2D154664144", "chr7:154664144")</f>
        <v>chr7:154664144</v>
      </c>
      <c r="C391" s="0" t="s">
        <v>38</v>
      </c>
      <c r="D391" s="0" t="n">
        <v>154664144</v>
      </c>
      <c r="E391" s="0" t="n">
        <v>154664144</v>
      </c>
      <c r="F391" s="0" t="s">
        <v>39</v>
      </c>
      <c r="G391" s="0" t="s">
        <v>57</v>
      </c>
      <c r="H391" s="0" t="s">
        <v>2228</v>
      </c>
      <c r="I391" s="0" t="s">
        <v>2229</v>
      </c>
      <c r="J391" s="0" t="s">
        <v>2230</v>
      </c>
      <c r="K391" s="0" t="s">
        <v>46</v>
      </c>
      <c r="L391" s="0" t="str">
        <f aca="false">HYPERLINK("https://www.ncbi.nlm.nih.gov/snp/rs566494752", "rs566494752")</f>
        <v>rs566494752</v>
      </c>
      <c r="M391" s="0" t="str">
        <f aca="false">HYPERLINK("https://www.genecards.org/Search/Keyword?queryString=%5Baliases%5D(%20DPP6%20)&amp;keywords=DPP6", "DPP6")</f>
        <v>DPP6</v>
      </c>
      <c r="N391" s="0" t="s">
        <v>45</v>
      </c>
      <c r="O391" s="0" t="s">
        <v>46</v>
      </c>
      <c r="P391" s="0" t="s">
        <v>46</v>
      </c>
      <c r="Q391" s="0" t="n">
        <v>0.0072</v>
      </c>
      <c r="R391" s="0" t="n">
        <v>0.0078</v>
      </c>
      <c r="S391" s="0" t="n">
        <v>0.0063</v>
      </c>
      <c r="T391" s="0" t="n">
        <v>-1</v>
      </c>
      <c r="U391" s="0" t="n">
        <v>0.0138</v>
      </c>
      <c r="V391" s="0" t="s">
        <v>46</v>
      </c>
      <c r="W391" s="0" t="s">
        <v>46</v>
      </c>
      <c r="X391" s="0" t="s">
        <v>47</v>
      </c>
      <c r="Y391" s="0" t="s">
        <v>48</v>
      </c>
      <c r="Z391" s="0" t="s">
        <v>46</v>
      </c>
      <c r="AA391" s="0" t="s">
        <v>46</v>
      </c>
      <c r="AB391" s="0" t="s">
        <v>46</v>
      </c>
      <c r="AC391" s="0" t="s">
        <v>50</v>
      </c>
      <c r="AD391" s="0" t="s">
        <v>51</v>
      </c>
      <c r="AE391" s="0" t="s">
        <v>2231</v>
      </c>
      <c r="AF391" s="0" t="s">
        <v>2232</v>
      </c>
      <c r="AG391" s="0" t="s">
        <v>2233</v>
      </c>
      <c r="AH391" s="0" t="s">
        <v>2234</v>
      </c>
      <c r="AI391" s="0" t="s">
        <v>46</v>
      </c>
      <c r="AJ391" s="0" t="s">
        <v>46</v>
      </c>
      <c r="AK391" s="0" t="s">
        <v>46</v>
      </c>
      <c r="AL391" s="0" t="s">
        <v>46</v>
      </c>
    </row>
    <row r="392" customFormat="false" ht="15" hidden="false" customHeight="false" outlineLevel="0" collapsed="false">
      <c r="B392" s="0" t="str">
        <f aca="false">HYPERLINK("https://genome.ucsc.edu/cgi-bin/hgTracks?db=hg19&amp;position=chr8%3A2033629%2D2033629", "chr8:2033629")</f>
        <v>chr8:2033629</v>
      </c>
      <c r="C392" s="0" t="s">
        <v>2235</v>
      </c>
      <c r="D392" s="0" t="n">
        <v>2033629</v>
      </c>
      <c r="E392" s="0" t="n">
        <v>2033629</v>
      </c>
      <c r="F392" s="0" t="s">
        <v>82</v>
      </c>
      <c r="G392" s="0" t="s">
        <v>57</v>
      </c>
      <c r="H392" s="0" t="s">
        <v>2116</v>
      </c>
      <c r="I392" s="0" t="s">
        <v>903</v>
      </c>
      <c r="J392" s="0" t="s">
        <v>2236</v>
      </c>
      <c r="K392" s="0" t="s">
        <v>46</v>
      </c>
      <c r="L392" s="0" t="str">
        <f aca="false">HYPERLINK("https://www.ncbi.nlm.nih.gov/snp/rs373612901", "rs373612901")</f>
        <v>rs373612901</v>
      </c>
      <c r="M392" s="0" t="str">
        <f aca="false">HYPERLINK("https://www.genecards.org/Search/Keyword?queryString=%5Baliases%5D(%20MYOM2%20)&amp;keywords=MYOM2", "MYOM2")</f>
        <v>MYOM2</v>
      </c>
      <c r="N392" s="0" t="s">
        <v>45</v>
      </c>
      <c r="O392" s="0" t="s">
        <v>46</v>
      </c>
      <c r="P392" s="0" t="s">
        <v>46</v>
      </c>
      <c r="Q392" s="0" t="n">
        <v>0.009031</v>
      </c>
      <c r="R392" s="0" t="n">
        <v>-1</v>
      </c>
      <c r="S392" s="0" t="n">
        <v>-1</v>
      </c>
      <c r="T392" s="0" t="n">
        <v>-1</v>
      </c>
      <c r="U392" s="0" t="n">
        <v>-1</v>
      </c>
      <c r="V392" s="0" t="s">
        <v>46</v>
      </c>
      <c r="W392" s="0" t="s">
        <v>46</v>
      </c>
      <c r="X392" s="0" t="s">
        <v>354</v>
      </c>
      <c r="Y392" s="0" t="s">
        <v>48</v>
      </c>
      <c r="Z392" s="0" t="s">
        <v>46</v>
      </c>
      <c r="AA392" s="0" t="s">
        <v>46</v>
      </c>
      <c r="AB392" s="0" t="s">
        <v>46</v>
      </c>
      <c r="AC392" s="0" t="s">
        <v>50</v>
      </c>
      <c r="AD392" s="0" t="s">
        <v>51</v>
      </c>
      <c r="AE392" s="0" t="s">
        <v>2237</v>
      </c>
      <c r="AF392" s="0" t="s">
        <v>2238</v>
      </c>
      <c r="AG392" s="0" t="s">
        <v>2239</v>
      </c>
      <c r="AH392" s="0" t="s">
        <v>46</v>
      </c>
      <c r="AI392" s="0" t="s">
        <v>571</v>
      </c>
      <c r="AJ392" s="0" t="s">
        <v>46</v>
      </c>
      <c r="AK392" s="0" t="s">
        <v>46</v>
      </c>
      <c r="AL392" s="0" t="s">
        <v>46</v>
      </c>
    </row>
    <row r="393" customFormat="false" ht="15" hidden="false" customHeight="false" outlineLevel="0" collapsed="false">
      <c r="B393" s="0" t="str">
        <f aca="false">HYPERLINK("https://genome.ucsc.edu/cgi-bin/hgTracks?db=hg19&amp;position=chr8%3A21986850%2D21986850", "chr8:21986850")</f>
        <v>chr8:21986850</v>
      </c>
      <c r="C393" s="0" t="s">
        <v>2235</v>
      </c>
      <c r="D393" s="0" t="n">
        <v>21986850</v>
      </c>
      <c r="E393" s="0" t="n">
        <v>21986850</v>
      </c>
      <c r="F393" s="0" t="s">
        <v>40</v>
      </c>
      <c r="G393" s="0" t="s">
        <v>82</v>
      </c>
      <c r="H393" s="0" t="s">
        <v>2240</v>
      </c>
      <c r="I393" s="0" t="s">
        <v>2229</v>
      </c>
      <c r="J393" s="0" t="s">
        <v>2241</v>
      </c>
      <c r="K393" s="0" t="s">
        <v>46</v>
      </c>
      <c r="L393" s="0" t="str">
        <f aca="false">HYPERLINK("https://www.ncbi.nlm.nih.gov/snp/rs78771661", "rs78771661")</f>
        <v>rs78771661</v>
      </c>
      <c r="M393" s="0" t="str">
        <f aca="false">HYPERLINK("https://www.genecards.org/Search/Keyword?queryString=%5Baliases%5D(%20HR%20)&amp;keywords=HR", "HR")</f>
        <v>HR</v>
      </c>
      <c r="N393" s="0" t="s">
        <v>45</v>
      </c>
      <c r="O393" s="0" t="s">
        <v>46</v>
      </c>
      <c r="P393" s="0" t="s">
        <v>46</v>
      </c>
      <c r="Q393" s="0" t="n">
        <v>0.0249</v>
      </c>
      <c r="R393" s="0" t="n">
        <v>0.0181</v>
      </c>
      <c r="S393" s="0" t="n">
        <v>0.0187</v>
      </c>
      <c r="T393" s="0" t="n">
        <v>-1</v>
      </c>
      <c r="U393" s="0" t="n">
        <v>0.0176</v>
      </c>
      <c r="V393" s="0" t="s">
        <v>46</v>
      </c>
      <c r="W393" s="0" t="s">
        <v>46</v>
      </c>
      <c r="X393" s="0" t="s">
        <v>47</v>
      </c>
      <c r="Y393" s="0" t="s">
        <v>48</v>
      </c>
      <c r="Z393" s="0" t="s">
        <v>46</v>
      </c>
      <c r="AA393" s="0" t="s">
        <v>46</v>
      </c>
      <c r="AB393" s="0" t="s">
        <v>46</v>
      </c>
      <c r="AC393" s="0" t="s">
        <v>50</v>
      </c>
      <c r="AD393" s="0" t="s">
        <v>51</v>
      </c>
      <c r="AE393" s="0" t="s">
        <v>2242</v>
      </c>
      <c r="AF393" s="0" t="s">
        <v>2243</v>
      </c>
      <c r="AG393" s="0" t="s">
        <v>2244</v>
      </c>
      <c r="AH393" s="0" t="s">
        <v>2245</v>
      </c>
      <c r="AI393" s="0" t="s">
        <v>46</v>
      </c>
      <c r="AJ393" s="0" t="s">
        <v>46</v>
      </c>
      <c r="AK393" s="0" t="s">
        <v>46</v>
      </c>
      <c r="AL393" s="0" t="s">
        <v>46</v>
      </c>
    </row>
    <row r="394" customFormat="false" ht="15" hidden="false" customHeight="false" outlineLevel="0" collapsed="false">
      <c r="B394" s="0" t="str">
        <f aca="false">HYPERLINK("https://genome.ucsc.edu/cgi-bin/hgTracks?db=hg19&amp;position=chr8%3A25303487%2D25303487", "chr8:25303487")</f>
        <v>chr8:25303487</v>
      </c>
      <c r="C394" s="0" t="s">
        <v>2235</v>
      </c>
      <c r="D394" s="0" t="n">
        <v>25303487</v>
      </c>
      <c r="E394" s="0" t="n">
        <v>25303487</v>
      </c>
      <c r="F394" s="0" t="s">
        <v>82</v>
      </c>
      <c r="G394" s="0" t="s">
        <v>40</v>
      </c>
      <c r="H394" s="0" t="s">
        <v>2246</v>
      </c>
      <c r="I394" s="0" t="s">
        <v>560</v>
      </c>
      <c r="J394" s="0" t="s">
        <v>1308</v>
      </c>
      <c r="K394" s="0" t="s">
        <v>46</v>
      </c>
      <c r="L394" s="0" t="str">
        <f aca="false">HYPERLINK("https://www.ncbi.nlm.nih.gov/snp/rs187189017", "rs187189017")</f>
        <v>rs187189017</v>
      </c>
      <c r="M394" s="0" t="str">
        <f aca="false">HYPERLINK("https://www.genecards.org/Search/Keyword?queryString=%5Baliases%5D(%20KCTD9%20)%20OR%20%5Baliases%5D(%20PPP2R2A%20)&amp;keywords=KCTD9,PPP2R2A", "KCTD9;PPP2R2A")</f>
        <v>KCTD9;PPP2R2A</v>
      </c>
      <c r="N394" s="0" t="s">
        <v>45</v>
      </c>
      <c r="O394" s="0" t="s">
        <v>46</v>
      </c>
      <c r="P394" s="0" t="s">
        <v>46</v>
      </c>
      <c r="Q394" s="0" t="n">
        <v>0.0138</v>
      </c>
      <c r="R394" s="0" t="n">
        <v>0.0049</v>
      </c>
      <c r="S394" s="0" t="n">
        <v>0.0054</v>
      </c>
      <c r="T394" s="0" t="n">
        <v>-1</v>
      </c>
      <c r="U394" s="0" t="n">
        <v>0.0014</v>
      </c>
      <c r="V394" s="0" t="s">
        <v>46</v>
      </c>
      <c r="W394" s="0" t="s">
        <v>46</v>
      </c>
      <c r="X394" s="0" t="s">
        <v>354</v>
      </c>
      <c r="Y394" s="0" t="s">
        <v>48</v>
      </c>
      <c r="Z394" s="0" t="s">
        <v>46</v>
      </c>
      <c r="AA394" s="0" t="s">
        <v>46</v>
      </c>
      <c r="AB394" s="0" t="s">
        <v>46</v>
      </c>
      <c r="AC394" s="0" t="s">
        <v>50</v>
      </c>
      <c r="AD394" s="0" t="s">
        <v>191</v>
      </c>
      <c r="AE394" s="0" t="s">
        <v>2247</v>
      </c>
      <c r="AF394" s="0" t="s">
        <v>2248</v>
      </c>
      <c r="AG394" s="0" t="s">
        <v>2249</v>
      </c>
      <c r="AH394" s="0" t="s">
        <v>46</v>
      </c>
      <c r="AI394" s="0" t="s">
        <v>46</v>
      </c>
      <c r="AJ394" s="0" t="s">
        <v>46</v>
      </c>
      <c r="AK394" s="0" t="s">
        <v>46</v>
      </c>
      <c r="AL394" s="0" t="s">
        <v>46</v>
      </c>
    </row>
    <row r="395" customFormat="false" ht="15" hidden="false" customHeight="false" outlineLevel="0" collapsed="false">
      <c r="B395" s="0" t="str">
        <f aca="false">HYPERLINK("https://genome.ucsc.edu/cgi-bin/hgTracks?db=hg19&amp;position=chr8%3A62593518%2D62593518", "chr8:62593518")</f>
        <v>chr8:62593518</v>
      </c>
      <c r="C395" s="0" t="s">
        <v>2235</v>
      </c>
      <c r="D395" s="0" t="n">
        <v>62593518</v>
      </c>
      <c r="E395" s="0" t="n">
        <v>62593518</v>
      </c>
      <c r="F395" s="0" t="s">
        <v>82</v>
      </c>
      <c r="G395" s="0" t="s">
        <v>40</v>
      </c>
      <c r="H395" s="0" t="s">
        <v>2250</v>
      </c>
      <c r="I395" s="0" t="s">
        <v>321</v>
      </c>
      <c r="J395" s="0" t="s">
        <v>2251</v>
      </c>
      <c r="K395" s="0" t="s">
        <v>46</v>
      </c>
      <c r="L395" s="0" t="s">
        <v>46</v>
      </c>
      <c r="M395" s="0" t="str">
        <f aca="false">HYPERLINK("https://www.genecards.org/Search/Keyword?queryString=%5Baliases%5D(%20ASPH%20)&amp;keywords=ASPH", "ASPH")</f>
        <v>ASPH</v>
      </c>
      <c r="N395" s="0" t="s">
        <v>45</v>
      </c>
      <c r="O395" s="0" t="s">
        <v>46</v>
      </c>
      <c r="P395" s="0" t="s">
        <v>46</v>
      </c>
      <c r="Q395" s="0" t="n">
        <v>-1</v>
      </c>
      <c r="R395" s="0" t="n">
        <v>-1</v>
      </c>
      <c r="S395" s="0" t="n">
        <v>-1</v>
      </c>
      <c r="T395" s="0" t="n">
        <v>-1</v>
      </c>
      <c r="U395" s="0" t="n">
        <v>-1</v>
      </c>
      <c r="V395" s="0" t="s">
        <v>46</v>
      </c>
      <c r="W395" s="0" t="s">
        <v>46</v>
      </c>
      <c r="X395" s="0" t="s">
        <v>354</v>
      </c>
      <c r="Y395" s="0" t="s">
        <v>48</v>
      </c>
      <c r="Z395" s="0" t="s">
        <v>46</v>
      </c>
      <c r="AA395" s="0" t="s">
        <v>46</v>
      </c>
      <c r="AB395" s="0" t="s">
        <v>46</v>
      </c>
      <c r="AC395" s="0" t="s">
        <v>50</v>
      </c>
      <c r="AD395" s="0" t="s">
        <v>51</v>
      </c>
      <c r="AE395" s="0" t="s">
        <v>2252</v>
      </c>
      <c r="AF395" s="0" t="s">
        <v>2253</v>
      </c>
      <c r="AG395" s="0" t="s">
        <v>2254</v>
      </c>
      <c r="AH395" s="0" t="s">
        <v>46</v>
      </c>
      <c r="AI395" s="0" t="s">
        <v>46</v>
      </c>
      <c r="AJ395" s="0" t="s">
        <v>46</v>
      </c>
      <c r="AK395" s="0" t="s">
        <v>46</v>
      </c>
      <c r="AL395" s="0" t="s">
        <v>46</v>
      </c>
    </row>
    <row r="396" customFormat="false" ht="15" hidden="false" customHeight="false" outlineLevel="0" collapsed="false">
      <c r="B396" s="0" t="str">
        <f aca="false">HYPERLINK("https://genome.ucsc.edu/cgi-bin/hgTracks?db=hg19&amp;position=chr8%3A87590777%2D87590777", "chr8:87590777")</f>
        <v>chr8:87590777</v>
      </c>
      <c r="C396" s="0" t="s">
        <v>2235</v>
      </c>
      <c r="D396" s="0" t="n">
        <v>87590777</v>
      </c>
      <c r="E396" s="0" t="n">
        <v>87590777</v>
      </c>
      <c r="F396" s="0" t="s">
        <v>82</v>
      </c>
      <c r="G396" s="0" t="s">
        <v>40</v>
      </c>
      <c r="H396" s="0" t="s">
        <v>2255</v>
      </c>
      <c r="I396" s="0" t="s">
        <v>278</v>
      </c>
      <c r="J396" s="0" t="s">
        <v>866</v>
      </c>
      <c r="K396" s="0" t="s">
        <v>46</v>
      </c>
      <c r="L396" s="0" t="str">
        <f aca="false">HYPERLINK("https://www.ncbi.nlm.nih.gov/snp/rs141516381", "rs141516381")</f>
        <v>rs141516381</v>
      </c>
      <c r="M396" s="0" t="str">
        <f aca="false">HYPERLINK("https://www.genecards.org/Search/Keyword?queryString=%5Baliases%5D(%20CNGB3%20)&amp;keywords=CNGB3", "CNGB3")</f>
        <v>CNGB3</v>
      </c>
      <c r="N396" s="0" t="s">
        <v>45</v>
      </c>
      <c r="O396" s="0" t="s">
        <v>46</v>
      </c>
      <c r="P396" s="0" t="s">
        <v>46</v>
      </c>
      <c r="Q396" s="0" t="n">
        <v>0.0119</v>
      </c>
      <c r="R396" s="0" t="n">
        <v>0.0097</v>
      </c>
      <c r="S396" s="0" t="n">
        <v>0.0104</v>
      </c>
      <c r="T396" s="0" t="n">
        <v>-1</v>
      </c>
      <c r="U396" s="0" t="n">
        <v>0.0122</v>
      </c>
      <c r="V396" s="0" t="s">
        <v>46</v>
      </c>
      <c r="W396" s="0" t="s">
        <v>46</v>
      </c>
      <c r="X396" s="0" t="s">
        <v>354</v>
      </c>
      <c r="Y396" s="0" t="s">
        <v>48</v>
      </c>
      <c r="Z396" s="0" t="s">
        <v>46</v>
      </c>
      <c r="AA396" s="0" t="s">
        <v>46</v>
      </c>
      <c r="AB396" s="0" t="s">
        <v>46</v>
      </c>
      <c r="AC396" s="0" t="s">
        <v>50</v>
      </c>
      <c r="AD396" s="0" t="s">
        <v>51</v>
      </c>
      <c r="AE396" s="0" t="s">
        <v>2256</v>
      </c>
      <c r="AF396" s="0" t="s">
        <v>2257</v>
      </c>
      <c r="AG396" s="0" t="s">
        <v>2258</v>
      </c>
      <c r="AH396" s="0" t="s">
        <v>2259</v>
      </c>
      <c r="AI396" s="0" t="s">
        <v>46</v>
      </c>
      <c r="AJ396" s="0" t="s">
        <v>46</v>
      </c>
      <c r="AK396" s="0" t="s">
        <v>46</v>
      </c>
      <c r="AL396" s="0" t="s">
        <v>46</v>
      </c>
    </row>
    <row r="397" customFormat="false" ht="15" hidden="false" customHeight="false" outlineLevel="0" collapsed="false">
      <c r="B397" s="0" t="str">
        <f aca="false">HYPERLINK("https://genome.ucsc.edu/cgi-bin/hgTracks?db=hg19&amp;position=chr8%3A102541209%2D102541209", "chr8:102541209")</f>
        <v>chr8:102541209</v>
      </c>
      <c r="C397" s="0" t="s">
        <v>2235</v>
      </c>
      <c r="D397" s="0" t="n">
        <v>102541209</v>
      </c>
      <c r="E397" s="0" t="n">
        <v>102541209</v>
      </c>
      <c r="F397" s="0" t="s">
        <v>40</v>
      </c>
      <c r="G397" s="0" t="s">
        <v>82</v>
      </c>
      <c r="H397" s="0" t="s">
        <v>2260</v>
      </c>
      <c r="I397" s="0" t="s">
        <v>756</v>
      </c>
      <c r="J397" s="0" t="s">
        <v>2261</v>
      </c>
      <c r="K397" s="0" t="s">
        <v>46</v>
      </c>
      <c r="L397" s="0" t="str">
        <f aca="false">HYPERLINK("https://www.ncbi.nlm.nih.gov/snp/rs76566957", "rs76566957")</f>
        <v>rs76566957</v>
      </c>
      <c r="M397" s="0" t="str">
        <f aca="false">HYPERLINK("https://www.genecards.org/Search/Keyword?queryString=%5Baliases%5D(%20GRHL2%20)&amp;keywords=GRHL2", "GRHL2")</f>
        <v>GRHL2</v>
      </c>
      <c r="N397" s="0" t="s">
        <v>704</v>
      </c>
      <c r="O397" s="0" t="s">
        <v>46</v>
      </c>
      <c r="P397" s="0" t="s">
        <v>46</v>
      </c>
      <c r="Q397" s="0" t="n">
        <v>0.0207</v>
      </c>
      <c r="R397" s="0" t="n">
        <v>0.0057</v>
      </c>
      <c r="S397" s="0" t="n">
        <v>0.0059</v>
      </c>
      <c r="T397" s="0" t="n">
        <v>-1</v>
      </c>
      <c r="U397" s="0" t="n">
        <v>0.0041</v>
      </c>
      <c r="V397" s="0" t="s">
        <v>46</v>
      </c>
      <c r="W397" s="0" t="s">
        <v>46</v>
      </c>
      <c r="X397" s="0" t="s">
        <v>46</v>
      </c>
      <c r="Y397" s="0" t="s">
        <v>46</v>
      </c>
      <c r="Z397" s="0" t="s">
        <v>46</v>
      </c>
      <c r="AA397" s="0" t="s">
        <v>46</v>
      </c>
      <c r="AB397" s="0" t="s">
        <v>46</v>
      </c>
      <c r="AC397" s="0" t="s">
        <v>50</v>
      </c>
      <c r="AD397" s="0" t="s">
        <v>147</v>
      </c>
      <c r="AE397" s="0" t="s">
        <v>2262</v>
      </c>
      <c r="AF397" s="0" t="s">
        <v>2263</v>
      </c>
      <c r="AG397" s="0" t="s">
        <v>2264</v>
      </c>
      <c r="AH397" s="0" t="s">
        <v>2265</v>
      </c>
      <c r="AI397" s="0" t="s">
        <v>46</v>
      </c>
      <c r="AJ397" s="0" t="s">
        <v>46</v>
      </c>
      <c r="AK397" s="0" t="s">
        <v>46</v>
      </c>
      <c r="AL397" s="0" t="s">
        <v>46</v>
      </c>
    </row>
    <row r="398" customFormat="false" ht="15" hidden="false" customHeight="false" outlineLevel="0" collapsed="false">
      <c r="B398" s="0" t="str">
        <f aca="false">HYPERLINK("https://genome.ucsc.edu/cgi-bin/hgTracks?db=hg19&amp;position=chr8%3A102661525%2D102661525", "chr8:102661525")</f>
        <v>chr8:102661525</v>
      </c>
      <c r="C398" s="0" t="s">
        <v>2235</v>
      </c>
      <c r="D398" s="0" t="n">
        <v>102661525</v>
      </c>
      <c r="E398" s="0" t="n">
        <v>102661525</v>
      </c>
      <c r="F398" s="0" t="s">
        <v>39</v>
      </c>
      <c r="G398" s="0" t="s">
        <v>57</v>
      </c>
      <c r="H398" s="0" t="s">
        <v>2266</v>
      </c>
      <c r="I398" s="0" t="s">
        <v>2106</v>
      </c>
      <c r="J398" s="0" t="s">
        <v>2267</v>
      </c>
      <c r="K398" s="0" t="s">
        <v>46</v>
      </c>
      <c r="L398" s="0" t="str">
        <f aca="false">HYPERLINK("https://www.ncbi.nlm.nih.gov/snp/rs150217058", "rs150217058")</f>
        <v>rs150217058</v>
      </c>
      <c r="M398" s="0" t="str">
        <f aca="false">HYPERLINK("https://www.genecards.org/Search/Keyword?queryString=%5Baliases%5D(%20GRHL2%20)&amp;keywords=GRHL2", "GRHL2")</f>
        <v>GRHL2</v>
      </c>
      <c r="N398" s="0" t="s">
        <v>45</v>
      </c>
      <c r="O398" s="0" t="s">
        <v>46</v>
      </c>
      <c r="P398" s="0" t="s">
        <v>46</v>
      </c>
      <c r="Q398" s="0" t="n">
        <v>0.0002</v>
      </c>
      <c r="R398" s="0" t="n">
        <v>0.0003</v>
      </c>
      <c r="S398" s="0" t="n">
        <v>7.341E-005</v>
      </c>
      <c r="T398" s="0" t="n">
        <v>-1</v>
      </c>
      <c r="U398" s="0" t="n">
        <v>0.0002</v>
      </c>
      <c r="V398" s="0" t="s">
        <v>46</v>
      </c>
      <c r="W398" s="0" t="s">
        <v>46</v>
      </c>
      <c r="X398" s="0" t="s">
        <v>47</v>
      </c>
      <c r="Y398" s="0" t="s">
        <v>48</v>
      </c>
      <c r="Z398" s="0" t="s">
        <v>46</v>
      </c>
      <c r="AA398" s="0" t="s">
        <v>46</v>
      </c>
      <c r="AB398" s="0" t="s">
        <v>46</v>
      </c>
      <c r="AC398" s="0" t="s">
        <v>50</v>
      </c>
      <c r="AD398" s="0" t="s">
        <v>147</v>
      </c>
      <c r="AE398" s="0" t="s">
        <v>2262</v>
      </c>
      <c r="AF398" s="0" t="s">
        <v>2263</v>
      </c>
      <c r="AG398" s="0" t="s">
        <v>2264</v>
      </c>
      <c r="AH398" s="0" t="s">
        <v>2265</v>
      </c>
      <c r="AI398" s="0" t="s">
        <v>46</v>
      </c>
      <c r="AJ398" s="0" t="s">
        <v>46</v>
      </c>
      <c r="AK398" s="0" t="s">
        <v>46</v>
      </c>
      <c r="AL398" s="0" t="s">
        <v>46</v>
      </c>
    </row>
    <row r="399" customFormat="false" ht="15" hidden="false" customHeight="false" outlineLevel="0" collapsed="false">
      <c r="B399" s="0" t="str">
        <f aca="false">HYPERLINK("https://genome.ucsc.edu/cgi-bin/hgTracks?db=hg19&amp;position=chr8%3A120770170%2D120770170", "chr8:120770170")</f>
        <v>chr8:120770170</v>
      </c>
      <c r="C399" s="0" t="s">
        <v>2235</v>
      </c>
      <c r="D399" s="0" t="n">
        <v>120770170</v>
      </c>
      <c r="E399" s="0" t="n">
        <v>120770170</v>
      </c>
      <c r="F399" s="0" t="s">
        <v>57</v>
      </c>
      <c r="G399" s="0" t="s">
        <v>82</v>
      </c>
      <c r="H399" s="0" t="s">
        <v>2268</v>
      </c>
      <c r="I399" s="0" t="s">
        <v>560</v>
      </c>
      <c r="J399" s="0" t="s">
        <v>2269</v>
      </c>
      <c r="K399" s="0" t="s">
        <v>46</v>
      </c>
      <c r="L399" s="0" t="str">
        <f aca="false">HYPERLINK("https://www.ncbi.nlm.nih.gov/snp/rs138173820", "rs138173820")</f>
        <v>rs138173820</v>
      </c>
      <c r="M399" s="0" t="str">
        <f aca="false">HYPERLINK("https://www.genecards.org/Search/Keyword?queryString=%5Baliases%5D(%20TAF2%20)&amp;keywords=TAF2", "TAF2")</f>
        <v>TAF2</v>
      </c>
      <c r="N399" s="0" t="s">
        <v>45</v>
      </c>
      <c r="O399" s="0" t="s">
        <v>46</v>
      </c>
      <c r="P399" s="0" t="s">
        <v>46</v>
      </c>
      <c r="Q399" s="0" t="n">
        <v>0.0107</v>
      </c>
      <c r="R399" s="0" t="n">
        <v>0.0112</v>
      </c>
      <c r="S399" s="0" t="n">
        <v>0.0127</v>
      </c>
      <c r="T399" s="0" t="n">
        <v>-1</v>
      </c>
      <c r="U399" s="0" t="n">
        <v>0.0123</v>
      </c>
      <c r="V399" s="0" t="s">
        <v>46</v>
      </c>
      <c r="W399" s="0" t="s">
        <v>46</v>
      </c>
      <c r="X399" s="0" t="s">
        <v>47</v>
      </c>
      <c r="Y399" s="0" t="s">
        <v>48</v>
      </c>
      <c r="Z399" s="0" t="s">
        <v>46</v>
      </c>
      <c r="AA399" s="0" t="s">
        <v>46</v>
      </c>
      <c r="AB399" s="0" t="s">
        <v>46</v>
      </c>
      <c r="AC399" s="0" t="s">
        <v>50</v>
      </c>
      <c r="AD399" s="0" t="s">
        <v>51</v>
      </c>
      <c r="AE399" s="0" t="s">
        <v>2270</v>
      </c>
      <c r="AF399" s="0" t="s">
        <v>2271</v>
      </c>
      <c r="AG399" s="0" t="s">
        <v>2272</v>
      </c>
      <c r="AH399" s="0" t="s">
        <v>46</v>
      </c>
      <c r="AI399" s="0" t="s">
        <v>46</v>
      </c>
      <c r="AJ399" s="0" t="s">
        <v>46</v>
      </c>
      <c r="AK399" s="0" t="s">
        <v>46</v>
      </c>
      <c r="AL399" s="0" t="s">
        <v>46</v>
      </c>
    </row>
    <row r="400" customFormat="false" ht="15" hidden="false" customHeight="false" outlineLevel="0" collapsed="false">
      <c r="B400" s="0" t="str">
        <f aca="false">HYPERLINK("https://genome.ucsc.edu/cgi-bin/hgTracks?db=hg19&amp;position=chr8%3A125062071%2D125062071", "chr8:125062071")</f>
        <v>chr8:125062071</v>
      </c>
      <c r="C400" s="0" t="s">
        <v>2235</v>
      </c>
      <c r="D400" s="0" t="n">
        <v>125062071</v>
      </c>
      <c r="E400" s="0" t="n">
        <v>125062071</v>
      </c>
      <c r="F400" s="0" t="s">
        <v>40</v>
      </c>
      <c r="G400" s="0" t="s">
        <v>39</v>
      </c>
      <c r="H400" s="0" t="s">
        <v>2273</v>
      </c>
      <c r="I400" s="0" t="s">
        <v>2176</v>
      </c>
      <c r="J400" s="0" t="s">
        <v>2274</v>
      </c>
      <c r="K400" s="0" t="s">
        <v>46</v>
      </c>
      <c r="L400" s="0" t="str">
        <f aca="false">HYPERLINK("https://www.ncbi.nlm.nih.gov/snp/rs138771662", "rs138771662")</f>
        <v>rs138771662</v>
      </c>
      <c r="M400" s="0" t="str">
        <f aca="false">HYPERLINK("https://www.genecards.org/Search/Keyword?queryString=%5Baliases%5D(%20AK057332%20)%20OR%20%5Baliases%5D(%20FER1L6-AS2%20)&amp;keywords=AK057332,FER1L6-AS2", "AK057332;FER1L6-AS2")</f>
        <v>AK057332;FER1L6-AS2</v>
      </c>
      <c r="N400" s="0" t="s">
        <v>1841</v>
      </c>
      <c r="O400" s="0" t="s">
        <v>46</v>
      </c>
      <c r="P400" s="0" t="s">
        <v>46</v>
      </c>
      <c r="Q400" s="0" t="n">
        <v>0.0103</v>
      </c>
      <c r="R400" s="0" t="n">
        <v>0.0069</v>
      </c>
      <c r="S400" s="0" t="n">
        <v>0.0067</v>
      </c>
      <c r="T400" s="0" t="n">
        <v>-1</v>
      </c>
      <c r="U400" s="0" t="n">
        <v>0.0045</v>
      </c>
      <c r="V400" s="0" t="s">
        <v>46</v>
      </c>
      <c r="W400" s="0" t="s">
        <v>46</v>
      </c>
      <c r="X400" s="0" t="s">
        <v>354</v>
      </c>
      <c r="Y400" s="0" t="s">
        <v>48</v>
      </c>
      <c r="Z400" s="0" t="s">
        <v>46</v>
      </c>
      <c r="AA400" s="0" t="s">
        <v>46</v>
      </c>
      <c r="AB400" s="0" t="s">
        <v>46</v>
      </c>
      <c r="AC400" s="0" t="s">
        <v>50</v>
      </c>
      <c r="AD400" s="0" t="s">
        <v>191</v>
      </c>
      <c r="AE400" s="0" t="s">
        <v>46</v>
      </c>
      <c r="AF400" s="0" t="s">
        <v>2275</v>
      </c>
      <c r="AG400" s="0" t="s">
        <v>46</v>
      </c>
      <c r="AH400" s="0" t="s">
        <v>46</v>
      </c>
      <c r="AI400" s="0" t="s">
        <v>46</v>
      </c>
      <c r="AJ400" s="0" t="s">
        <v>46</v>
      </c>
      <c r="AK400" s="0" t="s">
        <v>46</v>
      </c>
      <c r="AL400" s="0" t="s">
        <v>46</v>
      </c>
    </row>
    <row r="401" customFormat="false" ht="15" hidden="false" customHeight="false" outlineLevel="0" collapsed="false">
      <c r="B401" s="0" t="str">
        <f aca="false">HYPERLINK("https://genome.ucsc.edu/cgi-bin/hgTracks?db=hg19&amp;position=chr9%3A163872%2D163872", "chr9:163872")</f>
        <v>chr9:163872</v>
      </c>
      <c r="C401" s="0" t="s">
        <v>2276</v>
      </c>
      <c r="D401" s="0" t="n">
        <v>163872</v>
      </c>
      <c r="E401" s="0" t="n">
        <v>163872</v>
      </c>
      <c r="F401" s="0" t="s">
        <v>57</v>
      </c>
      <c r="G401" s="0" t="s">
        <v>82</v>
      </c>
      <c r="H401" s="0" t="s">
        <v>429</v>
      </c>
      <c r="I401" s="0" t="s">
        <v>1574</v>
      </c>
      <c r="J401" s="0" t="s">
        <v>2277</v>
      </c>
      <c r="K401" s="0" t="s">
        <v>46</v>
      </c>
      <c r="L401" s="0" t="str">
        <f aca="false">HYPERLINK("https://www.ncbi.nlm.nih.gov/snp/rs2785377", "rs2785377")</f>
        <v>rs2785377</v>
      </c>
      <c r="M401" s="0" t="str">
        <f aca="false">HYPERLINK("https://www.genecards.org/Search/Keyword?queryString=%5Baliases%5D(%20CBWD1%20)&amp;keywords=CBWD1", "CBWD1")</f>
        <v>CBWD1</v>
      </c>
      <c r="N401" s="0" t="s">
        <v>45</v>
      </c>
      <c r="O401" s="0" t="s">
        <v>46</v>
      </c>
      <c r="P401" s="0" t="s">
        <v>46</v>
      </c>
      <c r="Q401" s="0" t="n">
        <v>0.027586</v>
      </c>
      <c r="R401" s="0" t="n">
        <v>-1</v>
      </c>
      <c r="S401" s="0" t="n">
        <v>-1</v>
      </c>
      <c r="T401" s="0" t="n">
        <v>-1</v>
      </c>
      <c r="U401" s="0" t="n">
        <v>-1</v>
      </c>
      <c r="V401" s="0" t="s">
        <v>46</v>
      </c>
      <c r="W401" s="0" t="s">
        <v>46</v>
      </c>
      <c r="X401" s="0" t="s">
        <v>354</v>
      </c>
      <c r="Y401" s="0" t="s">
        <v>48</v>
      </c>
      <c r="Z401" s="0" t="s">
        <v>46</v>
      </c>
      <c r="AA401" s="0" t="s">
        <v>46</v>
      </c>
      <c r="AB401" s="0" t="s">
        <v>46</v>
      </c>
      <c r="AC401" s="0" t="s">
        <v>50</v>
      </c>
      <c r="AD401" s="0" t="s">
        <v>51</v>
      </c>
      <c r="AE401" s="0" t="s">
        <v>2278</v>
      </c>
      <c r="AF401" s="0" t="s">
        <v>2279</v>
      </c>
      <c r="AG401" s="0" t="s">
        <v>46</v>
      </c>
      <c r="AH401" s="0" t="s">
        <v>46</v>
      </c>
      <c r="AI401" s="0" t="s">
        <v>46</v>
      </c>
      <c r="AJ401" s="0" t="s">
        <v>46</v>
      </c>
      <c r="AK401" s="0" t="s">
        <v>46</v>
      </c>
      <c r="AL401" s="0" t="s">
        <v>46</v>
      </c>
    </row>
    <row r="402" customFormat="false" ht="15" hidden="false" customHeight="false" outlineLevel="0" collapsed="false">
      <c r="B402" s="0" t="str">
        <f aca="false">HYPERLINK("https://genome.ucsc.edu/cgi-bin/hgTracks?db=hg19&amp;position=chr9%3A33798713%2D33798713", "chr9:33798713")</f>
        <v>chr9:33798713</v>
      </c>
      <c r="C402" s="0" t="s">
        <v>2276</v>
      </c>
      <c r="D402" s="0" t="n">
        <v>33798713</v>
      </c>
      <c r="E402" s="0" t="n">
        <v>33798713</v>
      </c>
      <c r="F402" s="0" t="s">
        <v>40</v>
      </c>
      <c r="G402" s="0" t="s">
        <v>57</v>
      </c>
      <c r="H402" s="0" t="s">
        <v>2280</v>
      </c>
      <c r="I402" s="0" t="s">
        <v>1326</v>
      </c>
      <c r="J402" s="0" t="s">
        <v>2281</v>
      </c>
      <c r="K402" s="0" t="s">
        <v>46</v>
      </c>
      <c r="L402" s="0" t="str">
        <f aca="false">HYPERLINK("https://www.ncbi.nlm.nih.gov/snp/rs878985125", "rs878985125")</f>
        <v>rs878985125</v>
      </c>
      <c r="M402" s="0" t="str">
        <f aca="false">HYPERLINK("https://www.genecards.org/Search/Keyword?queryString=%5Baliases%5D(%20PRSS3%20)&amp;keywords=PRSS3", "PRSS3")</f>
        <v>PRSS3</v>
      </c>
      <c r="N402" s="0" t="s">
        <v>306</v>
      </c>
      <c r="O402" s="0" t="s">
        <v>46</v>
      </c>
      <c r="P402" s="0" t="s">
        <v>46</v>
      </c>
      <c r="Q402" s="0" t="n">
        <v>0.0157</v>
      </c>
      <c r="R402" s="0" t="n">
        <v>0.0002</v>
      </c>
      <c r="S402" s="0" t="n">
        <v>0.0005</v>
      </c>
      <c r="T402" s="0" t="n">
        <v>-1</v>
      </c>
      <c r="U402" s="0" t="n">
        <v>0.0007</v>
      </c>
      <c r="V402" s="0" t="s">
        <v>46</v>
      </c>
      <c r="W402" s="0" t="s">
        <v>46</v>
      </c>
      <c r="X402" s="0" t="s">
        <v>354</v>
      </c>
      <c r="Y402" s="0" t="s">
        <v>48</v>
      </c>
      <c r="Z402" s="0" t="s">
        <v>46</v>
      </c>
      <c r="AA402" s="0" t="s">
        <v>46</v>
      </c>
      <c r="AB402" s="0" t="s">
        <v>46</v>
      </c>
      <c r="AC402" s="0" t="s">
        <v>50</v>
      </c>
      <c r="AD402" s="0" t="s">
        <v>51</v>
      </c>
      <c r="AE402" s="0" t="s">
        <v>2282</v>
      </c>
      <c r="AF402" s="0" t="s">
        <v>2283</v>
      </c>
      <c r="AG402" s="0" t="s">
        <v>2284</v>
      </c>
      <c r="AH402" s="0" t="s">
        <v>46</v>
      </c>
      <c r="AI402" s="0" t="s">
        <v>46</v>
      </c>
      <c r="AJ402" s="0" t="s">
        <v>46</v>
      </c>
      <c r="AK402" s="0" t="s">
        <v>46</v>
      </c>
      <c r="AL402" s="0" t="s">
        <v>46</v>
      </c>
    </row>
    <row r="403" customFormat="false" ht="15" hidden="false" customHeight="false" outlineLevel="0" collapsed="false">
      <c r="B403" s="0" t="str">
        <f aca="false">HYPERLINK("https://genome.ucsc.edu/cgi-bin/hgTracks?db=hg19&amp;position=chr9%3A95002874%2D95002874", "chr9:95002874")</f>
        <v>chr9:95002874</v>
      </c>
      <c r="C403" s="0" t="s">
        <v>2276</v>
      </c>
      <c r="D403" s="0" t="n">
        <v>95002874</v>
      </c>
      <c r="E403" s="0" t="n">
        <v>95002874</v>
      </c>
      <c r="F403" s="0" t="s">
        <v>82</v>
      </c>
      <c r="G403" s="0" t="s">
        <v>40</v>
      </c>
      <c r="H403" s="0" t="s">
        <v>2285</v>
      </c>
      <c r="I403" s="0" t="s">
        <v>553</v>
      </c>
      <c r="J403" s="0" t="s">
        <v>2286</v>
      </c>
      <c r="K403" s="0" t="s">
        <v>46</v>
      </c>
      <c r="L403" s="0" t="s">
        <v>46</v>
      </c>
      <c r="M403" s="0" t="str">
        <f aca="false">HYPERLINK("https://www.genecards.org/Search/Keyword?queryString=%5Baliases%5D(%20IARS%20)&amp;keywords=IARS", "IARS")</f>
        <v>IARS</v>
      </c>
      <c r="N403" s="0" t="s">
        <v>2287</v>
      </c>
      <c r="O403" s="0" t="s">
        <v>46</v>
      </c>
      <c r="P403" s="0" t="s">
        <v>2288</v>
      </c>
      <c r="Q403" s="0" t="n">
        <v>-1</v>
      </c>
      <c r="R403" s="0" t="n">
        <v>-1</v>
      </c>
      <c r="S403" s="0" t="n">
        <v>-1</v>
      </c>
      <c r="T403" s="0" t="n">
        <v>-1</v>
      </c>
      <c r="U403" s="0" t="n">
        <v>-1</v>
      </c>
      <c r="V403" s="0" t="s">
        <v>46</v>
      </c>
      <c r="W403" s="0" t="s">
        <v>46</v>
      </c>
      <c r="X403" s="0" t="s">
        <v>47</v>
      </c>
      <c r="Y403" s="0" t="s">
        <v>48</v>
      </c>
      <c r="Z403" s="0" t="s">
        <v>46</v>
      </c>
      <c r="AA403" s="0" t="s">
        <v>46</v>
      </c>
      <c r="AB403" s="0" t="s">
        <v>46</v>
      </c>
      <c r="AC403" s="0" t="s">
        <v>50</v>
      </c>
      <c r="AD403" s="0" t="s">
        <v>51</v>
      </c>
      <c r="AE403" s="0" t="s">
        <v>2289</v>
      </c>
      <c r="AF403" s="0" t="s">
        <v>2290</v>
      </c>
      <c r="AG403" s="0" t="s">
        <v>46</v>
      </c>
      <c r="AH403" s="0" t="s">
        <v>46</v>
      </c>
      <c r="AI403" s="0" t="s">
        <v>46</v>
      </c>
      <c r="AJ403" s="0" t="s">
        <v>46</v>
      </c>
      <c r="AK403" s="0" t="s">
        <v>46</v>
      </c>
      <c r="AL403" s="0" t="s">
        <v>46</v>
      </c>
    </row>
    <row r="404" customFormat="false" ht="15" hidden="false" customHeight="false" outlineLevel="0" collapsed="false">
      <c r="B404" s="0" t="str">
        <f aca="false">HYPERLINK("https://genome.ucsc.edu/cgi-bin/hgTracks?db=hg19&amp;position=chr9%3A113137745%2D113137745", "chr9:113137745")</f>
        <v>chr9:113137745</v>
      </c>
      <c r="C404" s="0" t="s">
        <v>2276</v>
      </c>
      <c r="D404" s="0" t="n">
        <v>113137745</v>
      </c>
      <c r="E404" s="0" t="n">
        <v>113137745</v>
      </c>
      <c r="F404" s="0" t="s">
        <v>185</v>
      </c>
      <c r="G404" s="0" t="s">
        <v>57</v>
      </c>
      <c r="H404" s="0" t="s">
        <v>2291</v>
      </c>
      <c r="I404" s="0" t="s">
        <v>1326</v>
      </c>
      <c r="J404" s="0" t="s">
        <v>2292</v>
      </c>
      <c r="K404" s="0" t="s">
        <v>46</v>
      </c>
      <c r="L404" s="0" t="s">
        <v>46</v>
      </c>
      <c r="M404" s="0" t="str">
        <f aca="false">HYPERLINK("https://www.genecards.org/Search/Keyword?queryString=%5Baliases%5D(%20SVEP1%20)&amp;keywords=SVEP1", "SVEP1")</f>
        <v>SVEP1</v>
      </c>
      <c r="N404" s="0" t="s">
        <v>602</v>
      </c>
      <c r="O404" s="0" t="s">
        <v>46</v>
      </c>
      <c r="P404" s="0" t="s">
        <v>2293</v>
      </c>
      <c r="Q404" s="0" t="n">
        <v>-1</v>
      </c>
      <c r="R404" s="0" t="n">
        <v>-1</v>
      </c>
      <c r="S404" s="0" t="n">
        <v>-1</v>
      </c>
      <c r="T404" s="0" t="n">
        <v>-1</v>
      </c>
      <c r="U404" s="0" t="n">
        <v>-1</v>
      </c>
      <c r="V404" s="0" t="s">
        <v>46</v>
      </c>
      <c r="W404" s="0" t="s">
        <v>46</v>
      </c>
      <c r="X404" s="0" t="s">
        <v>46</v>
      </c>
      <c r="Y404" s="0" t="s">
        <v>46</v>
      </c>
      <c r="Z404" s="0" t="s">
        <v>46</v>
      </c>
      <c r="AA404" s="0" t="s">
        <v>46</v>
      </c>
      <c r="AB404" s="0" t="s">
        <v>46</v>
      </c>
      <c r="AC404" s="0" t="s">
        <v>50</v>
      </c>
      <c r="AD404" s="0" t="s">
        <v>51</v>
      </c>
      <c r="AE404" s="0" t="s">
        <v>2294</v>
      </c>
      <c r="AF404" s="0" t="s">
        <v>2295</v>
      </c>
      <c r="AG404" s="0" t="s">
        <v>2296</v>
      </c>
      <c r="AH404" s="0" t="s">
        <v>46</v>
      </c>
      <c r="AI404" s="0" t="s">
        <v>46</v>
      </c>
      <c r="AJ404" s="0" t="s">
        <v>46</v>
      </c>
      <c r="AK404" s="0" t="s">
        <v>46</v>
      </c>
      <c r="AL404" s="0" t="s">
        <v>46</v>
      </c>
    </row>
    <row r="405" customFormat="false" ht="15" hidden="false" customHeight="false" outlineLevel="0" collapsed="false">
      <c r="B405" s="0" t="str">
        <f aca="false">HYPERLINK("https://genome.ucsc.edu/cgi-bin/hgTracks?db=hg19&amp;position=chr9%3A116285141%2D116285141", "chr9:116285141")</f>
        <v>chr9:116285141</v>
      </c>
      <c r="C405" s="0" t="s">
        <v>2276</v>
      </c>
      <c r="D405" s="0" t="n">
        <v>116285141</v>
      </c>
      <c r="E405" s="0" t="n">
        <v>116285141</v>
      </c>
      <c r="F405" s="0" t="s">
        <v>39</v>
      </c>
      <c r="G405" s="0" t="s">
        <v>57</v>
      </c>
      <c r="H405" s="0" t="s">
        <v>1042</v>
      </c>
      <c r="I405" s="0" t="s">
        <v>1433</v>
      </c>
      <c r="J405" s="0" t="s">
        <v>2297</v>
      </c>
      <c r="K405" s="0" t="s">
        <v>46</v>
      </c>
      <c r="L405" s="0" t="str">
        <f aca="false">HYPERLINK("https://www.ncbi.nlm.nih.gov/snp/rs188909841", "rs188909841")</f>
        <v>rs188909841</v>
      </c>
      <c r="M405" s="0" t="str">
        <f aca="false">HYPERLINK("https://www.genecards.org/Search/Keyword?queryString=%5Baliases%5D(%20RGS3%20)&amp;keywords=RGS3", "RGS3")</f>
        <v>RGS3</v>
      </c>
      <c r="N405" s="0" t="s">
        <v>45</v>
      </c>
      <c r="O405" s="0" t="s">
        <v>46</v>
      </c>
      <c r="P405" s="0" t="s">
        <v>46</v>
      </c>
      <c r="Q405" s="0" t="n">
        <v>0.0139</v>
      </c>
      <c r="R405" s="0" t="n">
        <v>0.0142</v>
      </c>
      <c r="S405" s="0" t="n">
        <v>0.0137</v>
      </c>
      <c r="T405" s="0" t="n">
        <v>-1</v>
      </c>
      <c r="U405" s="0" t="n">
        <v>0.0158</v>
      </c>
      <c r="V405" s="0" t="s">
        <v>46</v>
      </c>
      <c r="W405" s="0" t="s">
        <v>46</v>
      </c>
      <c r="X405" s="0" t="s">
        <v>47</v>
      </c>
      <c r="Y405" s="0" t="s">
        <v>48</v>
      </c>
      <c r="Z405" s="0" t="s">
        <v>46</v>
      </c>
      <c r="AA405" s="0" t="s">
        <v>46</v>
      </c>
      <c r="AB405" s="0" t="s">
        <v>46</v>
      </c>
      <c r="AC405" s="0" t="s">
        <v>50</v>
      </c>
      <c r="AD405" s="0" t="s">
        <v>51</v>
      </c>
      <c r="AE405" s="0" t="s">
        <v>2298</v>
      </c>
      <c r="AF405" s="0" t="s">
        <v>2299</v>
      </c>
      <c r="AG405" s="0" t="s">
        <v>2300</v>
      </c>
      <c r="AH405" s="0" t="s">
        <v>46</v>
      </c>
      <c r="AI405" s="0" t="s">
        <v>46</v>
      </c>
      <c r="AJ405" s="0" t="s">
        <v>46</v>
      </c>
      <c r="AK405" s="0" t="s">
        <v>46</v>
      </c>
      <c r="AL405" s="0" t="s">
        <v>46</v>
      </c>
    </row>
    <row r="406" customFormat="false" ht="15" hidden="false" customHeight="false" outlineLevel="0" collapsed="false">
      <c r="B406" s="0" t="str">
        <f aca="false">HYPERLINK("https://genome.ucsc.edu/cgi-bin/hgTracks?db=hg19&amp;position=chr9%3A116854197%2D116854197", "chr9:116854197")</f>
        <v>chr9:116854197</v>
      </c>
      <c r="C406" s="0" t="s">
        <v>2276</v>
      </c>
      <c r="D406" s="0" t="n">
        <v>116854197</v>
      </c>
      <c r="E406" s="0" t="n">
        <v>116854197</v>
      </c>
      <c r="F406" s="0" t="s">
        <v>39</v>
      </c>
      <c r="G406" s="0" t="s">
        <v>185</v>
      </c>
      <c r="H406" s="0" t="s">
        <v>2301</v>
      </c>
      <c r="I406" s="0" t="s">
        <v>793</v>
      </c>
      <c r="J406" s="0" t="s">
        <v>2302</v>
      </c>
      <c r="K406" s="0" t="s">
        <v>46</v>
      </c>
      <c r="L406" s="0" t="str">
        <f aca="false">HYPERLINK("https://www.ncbi.nlm.nih.gov/snp/rs776506245", "rs776506245")</f>
        <v>rs776506245</v>
      </c>
      <c r="M406" s="0" t="str">
        <f aca="false">HYPERLINK("https://www.genecards.org/Search/Keyword?queryString=%5Baliases%5D(%20KIF12%20)&amp;keywords=KIF12", "KIF12")</f>
        <v>KIF12</v>
      </c>
      <c r="N406" s="0" t="s">
        <v>62</v>
      </c>
      <c r="O406" s="0" t="s">
        <v>262</v>
      </c>
      <c r="P406" s="0" t="s">
        <v>2303</v>
      </c>
      <c r="Q406" s="0" t="n">
        <v>0.006135</v>
      </c>
      <c r="R406" s="0" t="n">
        <v>-1</v>
      </c>
      <c r="S406" s="0" t="n">
        <v>7.344E-005</v>
      </c>
      <c r="T406" s="0" t="n">
        <v>-1</v>
      </c>
      <c r="U406" s="0" t="n">
        <v>-1</v>
      </c>
      <c r="V406" s="0" t="s">
        <v>46</v>
      </c>
      <c r="W406" s="0" t="s">
        <v>46</v>
      </c>
      <c r="X406" s="0" t="s">
        <v>46</v>
      </c>
      <c r="Y406" s="0" t="s">
        <v>46</v>
      </c>
      <c r="Z406" s="0" t="s">
        <v>46</v>
      </c>
      <c r="AA406" s="0" t="s">
        <v>46</v>
      </c>
      <c r="AB406" s="0" t="s">
        <v>46</v>
      </c>
      <c r="AC406" s="0" t="s">
        <v>50</v>
      </c>
      <c r="AD406" s="0" t="s">
        <v>51</v>
      </c>
      <c r="AE406" s="0" t="s">
        <v>2304</v>
      </c>
      <c r="AF406" s="0" t="s">
        <v>2305</v>
      </c>
      <c r="AG406" s="0" t="s">
        <v>46</v>
      </c>
      <c r="AH406" s="0" t="s">
        <v>46</v>
      </c>
      <c r="AI406" s="0" t="s">
        <v>46</v>
      </c>
      <c r="AJ406" s="0" t="s">
        <v>46</v>
      </c>
      <c r="AK406" s="0" t="s">
        <v>46</v>
      </c>
      <c r="AL406" s="0" t="s">
        <v>46</v>
      </c>
    </row>
    <row r="407" customFormat="false" ht="15" hidden="false" customHeight="false" outlineLevel="0" collapsed="false">
      <c r="B407" s="0" t="str">
        <f aca="false">HYPERLINK("https://genome.ucsc.edu/cgi-bin/hgTracks?db=hg19&amp;position=chr9%3A123223026%2D123223026", "chr9:123223026")</f>
        <v>chr9:123223026</v>
      </c>
      <c r="C407" s="0" t="s">
        <v>2276</v>
      </c>
      <c r="D407" s="0" t="n">
        <v>123223026</v>
      </c>
      <c r="E407" s="0" t="n">
        <v>123223026</v>
      </c>
      <c r="F407" s="0" t="s">
        <v>185</v>
      </c>
      <c r="G407" s="0" t="s">
        <v>82</v>
      </c>
      <c r="H407" s="0" t="s">
        <v>2306</v>
      </c>
      <c r="I407" s="0" t="s">
        <v>2307</v>
      </c>
      <c r="J407" s="0" t="s">
        <v>2308</v>
      </c>
      <c r="K407" s="0" t="s">
        <v>46</v>
      </c>
      <c r="L407" s="0" t="str">
        <f aca="false">HYPERLINK("https://www.ncbi.nlm.nih.gov/snp/rs749362837", "rs749362837")</f>
        <v>rs749362837</v>
      </c>
      <c r="M407" s="0" t="str">
        <f aca="false">HYPERLINK("https://www.genecards.org/Search/Keyword?queryString=%5Baliases%5D(%20CDK5RAP2%20)&amp;keywords=CDK5RAP2", "CDK5RAP2")</f>
        <v>CDK5RAP2</v>
      </c>
      <c r="N407" s="0" t="s">
        <v>1558</v>
      </c>
      <c r="O407" s="0" t="s">
        <v>46</v>
      </c>
      <c r="P407" s="0" t="s">
        <v>2309</v>
      </c>
      <c r="Q407" s="0" t="n">
        <v>0.0153</v>
      </c>
      <c r="R407" s="0" t="n">
        <v>0.0088</v>
      </c>
      <c r="S407" s="0" t="n">
        <v>0.0079</v>
      </c>
      <c r="T407" s="0" t="n">
        <v>-1</v>
      </c>
      <c r="U407" s="0" t="n">
        <v>0.0385</v>
      </c>
      <c r="V407" s="0" t="s">
        <v>46</v>
      </c>
      <c r="W407" s="0" t="s">
        <v>46</v>
      </c>
      <c r="X407" s="0" t="s">
        <v>46</v>
      </c>
      <c r="Y407" s="0" t="s">
        <v>46</v>
      </c>
      <c r="Z407" s="0" t="s">
        <v>46</v>
      </c>
      <c r="AA407" s="0" t="s">
        <v>46</v>
      </c>
      <c r="AB407" s="0" t="s">
        <v>46</v>
      </c>
      <c r="AC407" s="0" t="s">
        <v>50</v>
      </c>
      <c r="AD407" s="0" t="s">
        <v>51</v>
      </c>
      <c r="AE407" s="0" t="s">
        <v>2310</v>
      </c>
      <c r="AF407" s="0" t="s">
        <v>2311</v>
      </c>
      <c r="AG407" s="0" t="s">
        <v>2312</v>
      </c>
      <c r="AH407" s="0" t="s">
        <v>2313</v>
      </c>
      <c r="AI407" s="0" t="s">
        <v>46</v>
      </c>
      <c r="AJ407" s="0" t="s">
        <v>46</v>
      </c>
      <c r="AK407" s="0" t="s">
        <v>46</v>
      </c>
      <c r="AL407" s="0" t="s">
        <v>46</v>
      </c>
    </row>
    <row r="408" customFormat="false" ht="15" hidden="false" customHeight="false" outlineLevel="0" collapsed="false">
      <c r="B408" s="0" t="str">
        <f aca="false">HYPERLINK("https://genome.ucsc.edu/cgi-bin/hgTracks?db=hg19&amp;position=chr9%3A123623941%2D123623941", "chr9:123623941")</f>
        <v>chr9:123623941</v>
      </c>
      <c r="C408" s="0" t="s">
        <v>2276</v>
      </c>
      <c r="D408" s="0" t="n">
        <v>123623941</v>
      </c>
      <c r="E408" s="0" t="n">
        <v>123623941</v>
      </c>
      <c r="F408" s="0" t="s">
        <v>40</v>
      </c>
      <c r="G408" s="0" t="s">
        <v>82</v>
      </c>
      <c r="H408" s="0" t="s">
        <v>2314</v>
      </c>
      <c r="I408" s="0" t="s">
        <v>644</v>
      </c>
      <c r="J408" s="0" t="s">
        <v>892</v>
      </c>
      <c r="K408" s="0" t="s">
        <v>46</v>
      </c>
      <c r="L408" s="0" t="str">
        <f aca="false">HYPERLINK("https://www.ncbi.nlm.nih.gov/snp/rs75116223", "rs75116223")</f>
        <v>rs75116223</v>
      </c>
      <c r="M408" s="0" t="str">
        <f aca="false">HYPERLINK("https://www.genecards.org/Search/Keyword?queryString=%5Baliases%5D(%20PHF19%20)&amp;keywords=PHF19", "PHF19")</f>
        <v>PHF19</v>
      </c>
      <c r="N408" s="0" t="s">
        <v>45</v>
      </c>
      <c r="O408" s="0" t="s">
        <v>46</v>
      </c>
      <c r="P408" s="0" t="s">
        <v>46</v>
      </c>
      <c r="Q408" s="0" t="n">
        <v>0.0113</v>
      </c>
      <c r="R408" s="0" t="n">
        <v>0.0058</v>
      </c>
      <c r="S408" s="0" t="n">
        <v>0.0072</v>
      </c>
      <c r="T408" s="0" t="n">
        <v>-1</v>
      </c>
      <c r="U408" s="0" t="n">
        <v>0.0043</v>
      </c>
      <c r="V408" s="0" t="s">
        <v>46</v>
      </c>
      <c r="W408" s="0" t="s">
        <v>46</v>
      </c>
      <c r="X408" s="0" t="s">
        <v>354</v>
      </c>
      <c r="Y408" s="0" t="s">
        <v>48</v>
      </c>
      <c r="Z408" s="0" t="s">
        <v>46</v>
      </c>
      <c r="AA408" s="0" t="s">
        <v>46</v>
      </c>
      <c r="AB408" s="0" t="s">
        <v>46</v>
      </c>
      <c r="AC408" s="0" t="s">
        <v>50</v>
      </c>
      <c r="AD408" s="0" t="s">
        <v>51</v>
      </c>
      <c r="AE408" s="0" t="s">
        <v>2315</v>
      </c>
      <c r="AF408" s="0" t="s">
        <v>2316</v>
      </c>
      <c r="AG408" s="0" t="s">
        <v>2317</v>
      </c>
      <c r="AH408" s="0" t="s">
        <v>46</v>
      </c>
      <c r="AI408" s="0" t="s">
        <v>46</v>
      </c>
      <c r="AJ408" s="0" t="s">
        <v>46</v>
      </c>
      <c r="AK408" s="0" t="s">
        <v>46</v>
      </c>
      <c r="AL408" s="0" t="s">
        <v>46</v>
      </c>
    </row>
    <row r="409" customFormat="false" ht="15" hidden="false" customHeight="false" outlineLevel="0" collapsed="false">
      <c r="B409" s="0" t="str">
        <f aca="false">HYPERLINK("https://genome.ucsc.edu/cgi-bin/hgTracks?db=hg19&amp;position=chr9%3A124533164%2D124533164", "chr9:124533164")</f>
        <v>chr9:124533164</v>
      </c>
      <c r="C409" s="0" t="s">
        <v>2276</v>
      </c>
      <c r="D409" s="0" t="n">
        <v>124533164</v>
      </c>
      <c r="E409" s="0" t="n">
        <v>124533164</v>
      </c>
      <c r="F409" s="0" t="s">
        <v>39</v>
      </c>
      <c r="G409" s="0" t="s">
        <v>57</v>
      </c>
      <c r="H409" s="0" t="s">
        <v>2318</v>
      </c>
      <c r="I409" s="0" t="s">
        <v>1018</v>
      </c>
      <c r="J409" s="0" t="s">
        <v>2319</v>
      </c>
      <c r="K409" s="0" t="s">
        <v>46</v>
      </c>
      <c r="L409" s="0" t="str">
        <f aca="false">HYPERLINK("https://www.ncbi.nlm.nih.gov/snp/rs182196661", "rs182196661")</f>
        <v>rs182196661</v>
      </c>
      <c r="M409" s="0" t="str">
        <f aca="false">HYPERLINK("https://www.genecards.org/Search/Keyword?queryString=%5Baliases%5D(%20DAB2IP%20)&amp;keywords=DAB2IP", "DAB2IP")</f>
        <v>DAB2IP</v>
      </c>
      <c r="N409" s="0" t="s">
        <v>45</v>
      </c>
      <c r="O409" s="0" t="s">
        <v>46</v>
      </c>
      <c r="P409" s="0" t="s">
        <v>46</v>
      </c>
      <c r="Q409" s="0" t="n">
        <v>0.006</v>
      </c>
      <c r="R409" s="0" t="n">
        <v>0.0037</v>
      </c>
      <c r="S409" s="0" t="n">
        <v>0.0032</v>
      </c>
      <c r="T409" s="0" t="n">
        <v>-1</v>
      </c>
      <c r="U409" s="0" t="n">
        <v>0.0041</v>
      </c>
      <c r="V409" s="0" t="s">
        <v>46</v>
      </c>
      <c r="W409" s="0" t="s">
        <v>46</v>
      </c>
      <c r="X409" s="0" t="s">
        <v>47</v>
      </c>
      <c r="Y409" s="0" t="s">
        <v>48</v>
      </c>
      <c r="Z409" s="0" t="s">
        <v>46</v>
      </c>
      <c r="AA409" s="0" t="s">
        <v>46</v>
      </c>
      <c r="AB409" s="0" t="s">
        <v>46</v>
      </c>
      <c r="AC409" s="0" t="s">
        <v>50</v>
      </c>
      <c r="AD409" s="0" t="s">
        <v>51</v>
      </c>
      <c r="AE409" s="0" t="s">
        <v>2320</v>
      </c>
      <c r="AF409" s="0" t="s">
        <v>2321</v>
      </c>
      <c r="AG409" s="0" t="s">
        <v>2322</v>
      </c>
      <c r="AH409" s="0" t="s">
        <v>2323</v>
      </c>
      <c r="AI409" s="0" t="s">
        <v>46</v>
      </c>
      <c r="AJ409" s="0" t="s">
        <v>46</v>
      </c>
      <c r="AK409" s="0" t="s">
        <v>46</v>
      </c>
      <c r="AL409" s="0" t="s">
        <v>46</v>
      </c>
    </row>
    <row r="410" customFormat="false" ht="15" hidden="false" customHeight="false" outlineLevel="0" collapsed="false">
      <c r="B410" s="0" t="str">
        <f aca="false">HYPERLINK("https://genome.ucsc.edu/cgi-bin/hgTracks?db=hg19&amp;position=chr9%3A128677929%2D128677929", "chr9:128677929")</f>
        <v>chr9:128677929</v>
      </c>
      <c r="C410" s="0" t="s">
        <v>2276</v>
      </c>
      <c r="D410" s="0" t="n">
        <v>128677929</v>
      </c>
      <c r="E410" s="0" t="n">
        <v>128677929</v>
      </c>
      <c r="F410" s="0" t="s">
        <v>82</v>
      </c>
      <c r="G410" s="0" t="s">
        <v>40</v>
      </c>
      <c r="H410" s="0" t="s">
        <v>2324</v>
      </c>
      <c r="I410" s="0" t="s">
        <v>2325</v>
      </c>
      <c r="J410" s="0" t="s">
        <v>2326</v>
      </c>
      <c r="K410" s="0" t="s">
        <v>46</v>
      </c>
      <c r="L410" s="0" t="str">
        <f aca="false">HYPERLINK("https://www.ncbi.nlm.nih.gov/snp/rs138144415", "rs138144415")</f>
        <v>rs138144415</v>
      </c>
      <c r="M410" s="0" t="str">
        <f aca="false">HYPERLINK("https://www.genecards.org/Search/Keyword?queryString=%5Baliases%5D(%20PBX3%20)&amp;keywords=PBX3", "PBX3")</f>
        <v>PBX3</v>
      </c>
      <c r="N410" s="0" t="s">
        <v>45</v>
      </c>
      <c r="O410" s="0" t="s">
        <v>46</v>
      </c>
      <c r="P410" s="0" t="s">
        <v>46</v>
      </c>
      <c r="Q410" s="0" t="n">
        <v>0.0207</v>
      </c>
      <c r="R410" s="0" t="n">
        <v>0.0059</v>
      </c>
      <c r="S410" s="0" t="n">
        <v>0.0072</v>
      </c>
      <c r="T410" s="0" t="n">
        <v>-1</v>
      </c>
      <c r="U410" s="0" t="n">
        <v>0.0122</v>
      </c>
      <c r="V410" s="0" t="s">
        <v>46</v>
      </c>
      <c r="W410" s="0" t="s">
        <v>46</v>
      </c>
      <c r="X410" s="0" t="s">
        <v>354</v>
      </c>
      <c r="Y410" s="0" t="s">
        <v>48</v>
      </c>
      <c r="Z410" s="0" t="s">
        <v>46</v>
      </c>
      <c r="AA410" s="0" t="s">
        <v>46</v>
      </c>
      <c r="AB410" s="0" t="s">
        <v>46</v>
      </c>
      <c r="AC410" s="0" t="s">
        <v>50</v>
      </c>
      <c r="AD410" s="0" t="s">
        <v>51</v>
      </c>
      <c r="AE410" s="0" t="s">
        <v>2327</v>
      </c>
      <c r="AF410" s="0" t="s">
        <v>2328</v>
      </c>
      <c r="AG410" s="0" t="s">
        <v>2329</v>
      </c>
      <c r="AH410" s="0" t="s">
        <v>46</v>
      </c>
      <c r="AI410" s="0" t="s">
        <v>46</v>
      </c>
      <c r="AJ410" s="0" t="s">
        <v>46</v>
      </c>
      <c r="AK410" s="0" t="s">
        <v>46</v>
      </c>
      <c r="AL410" s="0" t="s">
        <v>46</v>
      </c>
    </row>
    <row r="411" customFormat="false" ht="15" hidden="false" customHeight="false" outlineLevel="0" collapsed="false">
      <c r="B411" s="0" t="str">
        <f aca="false">HYPERLINK("https://genome.ucsc.edu/cgi-bin/hgTracks?db=hg19&amp;position=chr9%3A130636321%2D130636323", "chr9:130636321")</f>
        <v>chr9:130636321</v>
      </c>
      <c r="C411" s="0" t="s">
        <v>2276</v>
      </c>
      <c r="D411" s="0" t="n">
        <v>130636321</v>
      </c>
      <c r="E411" s="0" t="n">
        <v>130636323</v>
      </c>
      <c r="F411" s="0" t="s">
        <v>2330</v>
      </c>
      <c r="G411" s="0" t="s">
        <v>185</v>
      </c>
      <c r="H411" s="0" t="s">
        <v>1017</v>
      </c>
      <c r="I411" s="0" t="s">
        <v>661</v>
      </c>
      <c r="J411" s="0" t="s">
        <v>2331</v>
      </c>
      <c r="K411" s="0" t="s">
        <v>46</v>
      </c>
      <c r="L411" s="0" t="str">
        <f aca="false">HYPERLINK("https://www.ncbi.nlm.nih.gov/snp/rs769268738", "rs769268738")</f>
        <v>rs769268738</v>
      </c>
      <c r="M411" s="0" t="str">
        <f aca="false">HYPERLINK("https://www.genecards.org/Search/Keyword?queryString=%5Baliases%5D(%20AK1%20)&amp;keywords=AK1", "AK1")</f>
        <v>AK1</v>
      </c>
      <c r="N411" s="0" t="s">
        <v>306</v>
      </c>
      <c r="O411" s="0" t="s">
        <v>46</v>
      </c>
      <c r="P411" s="0" t="s">
        <v>46</v>
      </c>
      <c r="Q411" s="0" t="n">
        <v>0.0024205</v>
      </c>
      <c r="R411" s="0" t="n">
        <v>0.0001</v>
      </c>
      <c r="S411" s="0" t="n">
        <v>-1</v>
      </c>
      <c r="T411" s="0" t="n">
        <v>-1</v>
      </c>
      <c r="U411" s="0" t="n">
        <v>-1</v>
      </c>
      <c r="V411" s="0" t="s">
        <v>46</v>
      </c>
      <c r="W411" s="0" t="s">
        <v>46</v>
      </c>
      <c r="X411" s="0" t="s">
        <v>46</v>
      </c>
      <c r="Y411" s="0" t="s">
        <v>46</v>
      </c>
      <c r="Z411" s="0" t="s">
        <v>46</v>
      </c>
      <c r="AA411" s="0" t="s">
        <v>46</v>
      </c>
      <c r="AB411" s="0" t="s">
        <v>46</v>
      </c>
      <c r="AC411" s="0" t="s">
        <v>50</v>
      </c>
      <c r="AD411" s="0" t="s">
        <v>51</v>
      </c>
      <c r="AE411" s="0" t="s">
        <v>2332</v>
      </c>
      <c r="AF411" s="0" t="s">
        <v>2333</v>
      </c>
      <c r="AG411" s="0" t="s">
        <v>2334</v>
      </c>
      <c r="AH411" s="0" t="s">
        <v>2335</v>
      </c>
      <c r="AI411" s="0" t="s">
        <v>46</v>
      </c>
      <c r="AJ411" s="0" t="s">
        <v>46</v>
      </c>
      <c r="AK411" s="0" t="s">
        <v>46</v>
      </c>
      <c r="AL411" s="0" t="s">
        <v>46</v>
      </c>
    </row>
    <row r="412" customFormat="false" ht="15" hidden="false" customHeight="false" outlineLevel="0" collapsed="false">
      <c r="B412" s="0" t="str">
        <f aca="false">HYPERLINK("https://genome.ucsc.edu/cgi-bin/hgTracks?db=hg19&amp;position=chr9%3A130914015%2D130914015", "chr9:130914015")</f>
        <v>chr9:130914015</v>
      </c>
      <c r="C412" s="0" t="s">
        <v>2276</v>
      </c>
      <c r="D412" s="0" t="n">
        <v>130914015</v>
      </c>
      <c r="E412" s="0" t="n">
        <v>130914015</v>
      </c>
      <c r="F412" s="0" t="s">
        <v>39</v>
      </c>
      <c r="G412" s="0" t="s">
        <v>57</v>
      </c>
      <c r="H412" s="0" t="s">
        <v>2336</v>
      </c>
      <c r="I412" s="0" t="s">
        <v>360</v>
      </c>
      <c r="J412" s="0" t="s">
        <v>2337</v>
      </c>
      <c r="K412" s="0" t="s">
        <v>46</v>
      </c>
      <c r="L412" s="0" t="str">
        <f aca="false">HYPERLINK("https://www.ncbi.nlm.nih.gov/snp/rs183777464", "rs183777464")</f>
        <v>rs183777464</v>
      </c>
      <c r="M412" s="0" t="str">
        <f aca="false">HYPERLINK("https://www.genecards.org/Search/Keyword?queryString=%5Baliases%5D(%20LCN2%20)&amp;keywords=LCN2", "LCN2")</f>
        <v>LCN2</v>
      </c>
      <c r="N412" s="0" t="s">
        <v>45</v>
      </c>
      <c r="O412" s="0" t="s">
        <v>46</v>
      </c>
      <c r="P412" s="0" t="s">
        <v>46</v>
      </c>
      <c r="Q412" s="0" t="n">
        <v>0.0046</v>
      </c>
      <c r="R412" s="0" t="n">
        <v>0.0027</v>
      </c>
      <c r="S412" s="0" t="n">
        <v>0.0021</v>
      </c>
      <c r="T412" s="0" t="n">
        <v>-1</v>
      </c>
      <c r="U412" s="0" t="n">
        <v>0.0049</v>
      </c>
      <c r="V412" s="0" t="s">
        <v>46</v>
      </c>
      <c r="W412" s="0" t="s">
        <v>46</v>
      </c>
      <c r="X412" s="0" t="s">
        <v>47</v>
      </c>
      <c r="Y412" s="0" t="s">
        <v>48</v>
      </c>
      <c r="Z412" s="0" t="s">
        <v>46</v>
      </c>
      <c r="AA412" s="0" t="s">
        <v>46</v>
      </c>
      <c r="AB412" s="0" t="s">
        <v>46</v>
      </c>
      <c r="AC412" s="0" t="s">
        <v>50</v>
      </c>
      <c r="AD412" s="0" t="s">
        <v>51</v>
      </c>
      <c r="AE412" s="0" t="s">
        <v>2338</v>
      </c>
      <c r="AF412" s="0" t="s">
        <v>2339</v>
      </c>
      <c r="AG412" s="0" t="s">
        <v>2340</v>
      </c>
      <c r="AH412" s="0" t="s">
        <v>46</v>
      </c>
      <c r="AI412" s="0" t="s">
        <v>46</v>
      </c>
      <c r="AJ412" s="0" t="s">
        <v>46</v>
      </c>
      <c r="AK412" s="0" t="s">
        <v>46</v>
      </c>
      <c r="AL412" s="0" t="s">
        <v>46</v>
      </c>
    </row>
    <row r="413" customFormat="false" ht="15" hidden="false" customHeight="false" outlineLevel="0" collapsed="false">
      <c r="B413" s="0" t="str">
        <f aca="false">HYPERLINK("https://genome.ucsc.edu/cgi-bin/hgTracks?db=hg19&amp;position=chr9%3A131284916%2D131284916", "chr9:131284916")</f>
        <v>chr9:131284916</v>
      </c>
      <c r="C413" s="0" t="s">
        <v>2276</v>
      </c>
      <c r="D413" s="0" t="n">
        <v>131284916</v>
      </c>
      <c r="E413" s="0" t="n">
        <v>131284916</v>
      </c>
      <c r="F413" s="0" t="s">
        <v>57</v>
      </c>
      <c r="G413" s="0" t="s">
        <v>185</v>
      </c>
      <c r="H413" s="0" t="s">
        <v>2341</v>
      </c>
      <c r="I413" s="0" t="s">
        <v>1272</v>
      </c>
      <c r="J413" s="0" t="s">
        <v>2342</v>
      </c>
      <c r="K413" s="0" t="s">
        <v>46</v>
      </c>
      <c r="L413" s="0" t="s">
        <v>46</v>
      </c>
      <c r="M413" s="0" t="str">
        <f aca="false">HYPERLINK("https://www.genecards.org/Search/Keyword?queryString=%5Baliases%5D(%20GLE1%20)%20OR%20%5Baliases%5D(%20MIR1268A%20)&amp;keywords=GLE1,MIR1268A", "GLE1;MIR1268A")</f>
        <v>GLE1;MIR1268A</v>
      </c>
      <c r="N413" s="0" t="s">
        <v>306</v>
      </c>
      <c r="O413" s="0" t="s">
        <v>46</v>
      </c>
      <c r="P413" s="0" t="s">
        <v>46</v>
      </c>
      <c r="Q413" s="0" t="n">
        <v>-1</v>
      </c>
      <c r="R413" s="0" t="n">
        <v>-1</v>
      </c>
      <c r="S413" s="0" t="n">
        <v>-1</v>
      </c>
      <c r="T413" s="0" t="n">
        <v>-1</v>
      </c>
      <c r="U413" s="0" t="n">
        <v>-1</v>
      </c>
      <c r="V413" s="0" t="s">
        <v>46</v>
      </c>
      <c r="W413" s="0" t="s">
        <v>46</v>
      </c>
      <c r="X413" s="0" t="s">
        <v>46</v>
      </c>
      <c r="Y413" s="0" t="s">
        <v>46</v>
      </c>
      <c r="Z413" s="0" t="s">
        <v>46</v>
      </c>
      <c r="AA413" s="0" t="s">
        <v>46</v>
      </c>
      <c r="AB413" s="0" t="s">
        <v>46</v>
      </c>
      <c r="AC413" s="0" t="s">
        <v>254</v>
      </c>
      <c r="AD413" s="0" t="s">
        <v>750</v>
      </c>
      <c r="AE413" s="0" t="s">
        <v>2343</v>
      </c>
      <c r="AF413" s="0" t="s">
        <v>2344</v>
      </c>
      <c r="AG413" s="0" t="s">
        <v>2345</v>
      </c>
      <c r="AH413" s="0" t="s">
        <v>2346</v>
      </c>
      <c r="AI413" s="0" t="s">
        <v>46</v>
      </c>
      <c r="AJ413" s="0" t="s">
        <v>46</v>
      </c>
      <c r="AK413" s="0" t="s">
        <v>46</v>
      </c>
      <c r="AL413" s="0" t="s">
        <v>46</v>
      </c>
    </row>
    <row r="414" customFormat="false" ht="15" hidden="false" customHeight="false" outlineLevel="0" collapsed="false">
      <c r="B414" s="0" t="str">
        <f aca="false">HYPERLINK("https://genome.ucsc.edu/cgi-bin/hgTracks?db=hg19&amp;position=chr9%3A131329405%2D131329405", "chr9:131329405")</f>
        <v>chr9:131329405</v>
      </c>
      <c r="C414" s="0" t="s">
        <v>2276</v>
      </c>
      <c r="D414" s="0" t="n">
        <v>131329405</v>
      </c>
      <c r="E414" s="0" t="n">
        <v>131329405</v>
      </c>
      <c r="F414" s="0" t="s">
        <v>82</v>
      </c>
      <c r="G414" s="0" t="s">
        <v>40</v>
      </c>
      <c r="H414" s="0" t="s">
        <v>2347</v>
      </c>
      <c r="I414" s="0" t="s">
        <v>278</v>
      </c>
      <c r="J414" s="0" t="s">
        <v>2348</v>
      </c>
      <c r="K414" s="0" t="s">
        <v>46</v>
      </c>
      <c r="L414" s="0" t="str">
        <f aca="false">HYPERLINK("https://www.ncbi.nlm.nih.gov/snp/rs1026384378", "rs1026384378")</f>
        <v>rs1026384378</v>
      </c>
      <c r="M414" s="0" t="str">
        <f aca="false">HYPERLINK("https://www.genecards.org/Search/Keyword?queryString=%5Baliases%5D(%20MIR1268A%20)%20OR%20%5Baliases%5D(%20SPTAN1%20)&amp;keywords=MIR1268A,SPTAN1", "MIR1268A;SPTAN1")</f>
        <v>MIR1268A;SPTAN1</v>
      </c>
      <c r="N414" s="0" t="s">
        <v>306</v>
      </c>
      <c r="O414" s="0" t="s">
        <v>46</v>
      </c>
      <c r="P414" s="0" t="s">
        <v>46</v>
      </c>
      <c r="Q414" s="0" t="n">
        <v>0.0001</v>
      </c>
      <c r="R414" s="0" t="n">
        <v>0.0001</v>
      </c>
      <c r="S414" s="0" t="n">
        <v>0.0003</v>
      </c>
      <c r="T414" s="0" t="n">
        <v>-1</v>
      </c>
      <c r="U414" s="0" t="n">
        <v>-1</v>
      </c>
      <c r="V414" s="0" t="s">
        <v>46</v>
      </c>
      <c r="W414" s="0" t="s">
        <v>46</v>
      </c>
      <c r="X414" s="0" t="s">
        <v>307</v>
      </c>
      <c r="Y414" s="0" t="s">
        <v>48</v>
      </c>
      <c r="Z414" s="0" t="s">
        <v>46</v>
      </c>
      <c r="AA414" s="0" t="s">
        <v>46</v>
      </c>
      <c r="AB414" s="0" t="s">
        <v>46</v>
      </c>
      <c r="AC414" s="0" t="s">
        <v>50</v>
      </c>
      <c r="AD414" s="0" t="s">
        <v>2349</v>
      </c>
      <c r="AE414" s="0" t="s">
        <v>2350</v>
      </c>
      <c r="AF414" s="0" t="s">
        <v>2351</v>
      </c>
      <c r="AG414" s="0" t="s">
        <v>2352</v>
      </c>
      <c r="AH414" s="0" t="s">
        <v>2353</v>
      </c>
      <c r="AI414" s="0" t="s">
        <v>46</v>
      </c>
      <c r="AJ414" s="0" t="s">
        <v>46</v>
      </c>
      <c r="AK414" s="0" t="s">
        <v>46</v>
      </c>
      <c r="AL414" s="0" t="s">
        <v>46</v>
      </c>
    </row>
    <row r="415" customFormat="false" ht="15" hidden="false" customHeight="false" outlineLevel="0" collapsed="false">
      <c r="B415" s="0" t="str">
        <f aca="false">HYPERLINK("https://genome.ucsc.edu/cgi-bin/hgTracks?db=hg19&amp;position=chr9%3A131375507%2D131375507", "chr9:131375507")</f>
        <v>chr9:131375507</v>
      </c>
      <c r="C415" s="0" t="s">
        <v>2276</v>
      </c>
      <c r="D415" s="0" t="n">
        <v>131375507</v>
      </c>
      <c r="E415" s="0" t="n">
        <v>131375507</v>
      </c>
      <c r="F415" s="0" t="s">
        <v>82</v>
      </c>
      <c r="G415" s="0" t="s">
        <v>39</v>
      </c>
      <c r="H415" s="0" t="s">
        <v>2201</v>
      </c>
      <c r="I415" s="0" t="s">
        <v>367</v>
      </c>
      <c r="J415" s="0" t="s">
        <v>2354</v>
      </c>
      <c r="K415" s="0" t="s">
        <v>46</v>
      </c>
      <c r="L415" s="0" t="str">
        <f aca="false">HYPERLINK("https://www.ncbi.nlm.nih.gov/snp/rs542168540", "rs542168540")</f>
        <v>rs542168540</v>
      </c>
      <c r="M415" s="0" t="str">
        <f aca="false">HYPERLINK("https://www.genecards.org/Search/Keyword?queryString=%5Baliases%5D(%20MIR1268A%20)%20OR%20%5Baliases%5D(%20SPTAN1%20)&amp;keywords=MIR1268A,SPTAN1", "MIR1268A;SPTAN1")</f>
        <v>MIR1268A;SPTAN1</v>
      </c>
      <c r="N415" s="0" t="s">
        <v>306</v>
      </c>
      <c r="O415" s="0" t="s">
        <v>46</v>
      </c>
      <c r="P415" s="0" t="s">
        <v>46</v>
      </c>
      <c r="Q415" s="0" t="n">
        <v>0.0069</v>
      </c>
      <c r="R415" s="0" t="n">
        <v>0.0011</v>
      </c>
      <c r="S415" s="0" t="n">
        <v>0.0011</v>
      </c>
      <c r="T415" s="0" t="n">
        <v>-1</v>
      </c>
      <c r="U415" s="0" t="n">
        <v>0.0013</v>
      </c>
      <c r="V415" s="0" t="s">
        <v>46</v>
      </c>
      <c r="W415" s="0" t="s">
        <v>46</v>
      </c>
      <c r="X415" s="0" t="s">
        <v>307</v>
      </c>
      <c r="Y415" s="0" t="s">
        <v>48</v>
      </c>
      <c r="Z415" s="0" t="s">
        <v>46</v>
      </c>
      <c r="AA415" s="0" t="s">
        <v>46</v>
      </c>
      <c r="AB415" s="0" t="s">
        <v>46</v>
      </c>
      <c r="AC415" s="0" t="s">
        <v>50</v>
      </c>
      <c r="AD415" s="0" t="s">
        <v>2349</v>
      </c>
      <c r="AE415" s="0" t="s">
        <v>2350</v>
      </c>
      <c r="AF415" s="0" t="s">
        <v>2351</v>
      </c>
      <c r="AG415" s="0" t="s">
        <v>2352</v>
      </c>
      <c r="AH415" s="0" t="s">
        <v>2353</v>
      </c>
      <c r="AI415" s="0" t="s">
        <v>46</v>
      </c>
      <c r="AJ415" s="0" t="s">
        <v>46</v>
      </c>
      <c r="AK415" s="0" t="s">
        <v>46</v>
      </c>
      <c r="AL415" s="0" t="s">
        <v>46</v>
      </c>
    </row>
    <row r="416" customFormat="false" ht="15" hidden="false" customHeight="false" outlineLevel="0" collapsed="false">
      <c r="B416" s="0" t="str">
        <f aca="false">HYPERLINK("https://genome.ucsc.edu/cgi-bin/hgTracks?db=hg19&amp;position=chr9%3A132377967%2D132377967", "chr9:132377967")</f>
        <v>chr9:132377967</v>
      </c>
      <c r="C416" s="0" t="s">
        <v>2276</v>
      </c>
      <c r="D416" s="0" t="n">
        <v>132377967</v>
      </c>
      <c r="E416" s="0" t="n">
        <v>132377967</v>
      </c>
      <c r="F416" s="0" t="s">
        <v>40</v>
      </c>
      <c r="G416" s="0" t="s">
        <v>82</v>
      </c>
      <c r="H416" s="0" t="s">
        <v>2355</v>
      </c>
      <c r="I416" s="0" t="s">
        <v>1938</v>
      </c>
      <c r="J416" s="0" t="s">
        <v>2356</v>
      </c>
      <c r="K416" s="0" t="s">
        <v>46</v>
      </c>
      <c r="L416" s="0" t="str">
        <f aca="false">HYPERLINK("https://www.ncbi.nlm.nih.gov/snp/rs75970720", "rs75970720")</f>
        <v>rs75970720</v>
      </c>
      <c r="M416" s="0" t="str">
        <f aca="false">HYPERLINK("https://www.genecards.org/Search/Keyword?queryString=%5Baliases%5D(%20C9orf50%20)%20OR%20%5Baliases%5D(%20NTMT1%20)&amp;keywords=C9orf50,NTMT1", "C9orf50;NTMT1")</f>
        <v>C9orf50;NTMT1</v>
      </c>
      <c r="N416" s="0" t="s">
        <v>45</v>
      </c>
      <c r="O416" s="0" t="s">
        <v>46</v>
      </c>
      <c r="P416" s="0" t="s">
        <v>46</v>
      </c>
      <c r="Q416" s="0" t="n">
        <v>0.0193</v>
      </c>
      <c r="R416" s="0" t="n">
        <v>0.0128</v>
      </c>
      <c r="S416" s="0" t="n">
        <v>0.0108</v>
      </c>
      <c r="T416" s="0" t="n">
        <v>-1</v>
      </c>
      <c r="U416" s="0" t="n">
        <v>0.0171</v>
      </c>
      <c r="V416" s="0" t="s">
        <v>46</v>
      </c>
      <c r="W416" s="0" t="s">
        <v>46</v>
      </c>
      <c r="X416" s="0" t="s">
        <v>354</v>
      </c>
      <c r="Y416" s="0" t="s">
        <v>48</v>
      </c>
      <c r="Z416" s="0" t="s">
        <v>46</v>
      </c>
      <c r="AA416" s="0" t="s">
        <v>46</v>
      </c>
      <c r="AB416" s="0" t="s">
        <v>46</v>
      </c>
      <c r="AC416" s="0" t="s">
        <v>50</v>
      </c>
      <c r="AD416" s="0" t="s">
        <v>191</v>
      </c>
      <c r="AE416" s="0" t="s">
        <v>2357</v>
      </c>
      <c r="AF416" s="0" t="s">
        <v>2358</v>
      </c>
      <c r="AG416" s="0" t="s">
        <v>2359</v>
      </c>
      <c r="AH416" s="0" t="s">
        <v>46</v>
      </c>
      <c r="AI416" s="0" t="s">
        <v>46</v>
      </c>
      <c r="AJ416" s="0" t="s">
        <v>46</v>
      </c>
      <c r="AK416" s="0" t="s">
        <v>46</v>
      </c>
      <c r="AL416" s="0" t="s">
        <v>46</v>
      </c>
    </row>
    <row r="417" customFormat="false" ht="15" hidden="false" customHeight="false" outlineLevel="0" collapsed="false">
      <c r="B417" s="0" t="str">
        <f aca="false">HYPERLINK("https://genome.ucsc.edu/cgi-bin/hgTracks?db=hg19&amp;position=chr9%3A134014643%2D134014643", "chr9:134014643")</f>
        <v>chr9:134014643</v>
      </c>
      <c r="C417" s="0" t="s">
        <v>2276</v>
      </c>
      <c r="D417" s="0" t="n">
        <v>134014643</v>
      </c>
      <c r="E417" s="0" t="n">
        <v>134014643</v>
      </c>
      <c r="F417" s="0" t="s">
        <v>82</v>
      </c>
      <c r="G417" s="0" t="s">
        <v>185</v>
      </c>
      <c r="H417" s="0" t="s">
        <v>2360</v>
      </c>
      <c r="I417" s="0" t="s">
        <v>1003</v>
      </c>
      <c r="J417" s="0" t="s">
        <v>2361</v>
      </c>
      <c r="K417" s="0" t="s">
        <v>46</v>
      </c>
      <c r="L417" s="0" t="str">
        <f aca="false">HYPERLINK("https://www.ncbi.nlm.nih.gov/snp/rs778385033", "rs778385033")</f>
        <v>rs778385033</v>
      </c>
      <c r="M417" s="0" t="str">
        <f aca="false">HYPERLINK("https://www.genecards.org/Search/Keyword?queryString=%5Baliases%5D(%20NUP214%20)&amp;keywords=NUP214", "NUP214")</f>
        <v>NUP214</v>
      </c>
      <c r="N417" s="0" t="s">
        <v>306</v>
      </c>
      <c r="O417" s="0" t="s">
        <v>46</v>
      </c>
      <c r="P417" s="0" t="s">
        <v>46</v>
      </c>
      <c r="Q417" s="0" t="n">
        <v>0.0002781</v>
      </c>
      <c r="R417" s="0" t="n">
        <v>-1</v>
      </c>
      <c r="S417" s="0" t="n">
        <v>-1</v>
      </c>
      <c r="T417" s="0" t="n">
        <v>-1</v>
      </c>
      <c r="U417" s="0" t="n">
        <v>-1</v>
      </c>
      <c r="V417" s="0" t="s">
        <v>46</v>
      </c>
      <c r="W417" s="0" t="s">
        <v>46</v>
      </c>
      <c r="X417" s="0" t="s">
        <v>46</v>
      </c>
      <c r="Y417" s="0" t="s">
        <v>46</v>
      </c>
      <c r="Z417" s="0" t="s">
        <v>46</v>
      </c>
      <c r="AA417" s="0" t="s">
        <v>46</v>
      </c>
      <c r="AB417" s="0" t="s">
        <v>46</v>
      </c>
      <c r="AC417" s="0" t="s">
        <v>50</v>
      </c>
      <c r="AD417" s="0" t="s">
        <v>51</v>
      </c>
      <c r="AE417" s="0" t="s">
        <v>2362</v>
      </c>
      <c r="AF417" s="0" t="s">
        <v>2363</v>
      </c>
      <c r="AG417" s="0" t="s">
        <v>2364</v>
      </c>
      <c r="AH417" s="0" t="s">
        <v>2365</v>
      </c>
      <c r="AI417" s="0" t="s">
        <v>46</v>
      </c>
      <c r="AJ417" s="0" t="s">
        <v>46</v>
      </c>
      <c r="AK417" s="0" t="s">
        <v>46</v>
      </c>
      <c r="AL417" s="0" t="s">
        <v>46</v>
      </c>
    </row>
    <row r="418" customFormat="false" ht="15" hidden="false" customHeight="false" outlineLevel="0" collapsed="false">
      <c r="B418" s="0" t="str">
        <f aca="false">HYPERLINK("https://genome.ucsc.edu/cgi-bin/hgTracks?db=hg19&amp;position=chr9%3A136405941%2D136405941", "chr9:136405941")</f>
        <v>chr9:136405941</v>
      </c>
      <c r="C418" s="0" t="s">
        <v>2276</v>
      </c>
      <c r="D418" s="0" t="n">
        <v>136405941</v>
      </c>
      <c r="E418" s="0" t="n">
        <v>136405941</v>
      </c>
      <c r="F418" s="0" t="s">
        <v>39</v>
      </c>
      <c r="G418" s="0" t="s">
        <v>57</v>
      </c>
      <c r="H418" s="0" t="s">
        <v>2366</v>
      </c>
      <c r="I418" s="0" t="s">
        <v>2367</v>
      </c>
      <c r="J418" s="0" t="s">
        <v>2368</v>
      </c>
      <c r="K418" s="0" t="s">
        <v>46</v>
      </c>
      <c r="L418" s="0" t="str">
        <f aca="false">HYPERLINK("https://www.ncbi.nlm.nih.gov/snp/rs1047402689", "rs1047402689")</f>
        <v>rs1047402689</v>
      </c>
      <c r="M418" s="0" t="str">
        <f aca="false">HYPERLINK("https://www.genecards.org/Search/Keyword?queryString=%5Baliases%5D(%20ADAMTSL2%20)&amp;keywords=ADAMTSL2", "ADAMTSL2")</f>
        <v>ADAMTSL2</v>
      </c>
      <c r="N418" s="0" t="s">
        <v>45</v>
      </c>
      <c r="O418" s="0" t="s">
        <v>46</v>
      </c>
      <c r="P418" s="0" t="s">
        <v>46</v>
      </c>
      <c r="Q418" s="0" t="n">
        <v>7.183E-005</v>
      </c>
      <c r="R418" s="0" t="n">
        <v>9.027E-005</v>
      </c>
      <c r="S418" s="0" t="n">
        <v>-1</v>
      </c>
      <c r="T418" s="0" t="n">
        <v>-1</v>
      </c>
      <c r="U418" s="0" t="n">
        <v>-1</v>
      </c>
      <c r="V418" s="0" t="s">
        <v>46</v>
      </c>
      <c r="W418" s="0" t="s">
        <v>46</v>
      </c>
      <c r="X418" s="0" t="s">
        <v>354</v>
      </c>
      <c r="Y418" s="0" t="s">
        <v>48</v>
      </c>
      <c r="Z418" s="0" t="s">
        <v>46</v>
      </c>
      <c r="AA418" s="0" t="s">
        <v>46</v>
      </c>
      <c r="AB418" s="0" t="s">
        <v>46</v>
      </c>
      <c r="AC418" s="0" t="s">
        <v>50</v>
      </c>
      <c r="AD418" s="0" t="s">
        <v>51</v>
      </c>
      <c r="AE418" s="0" t="s">
        <v>2369</v>
      </c>
      <c r="AF418" s="0" t="s">
        <v>2370</v>
      </c>
      <c r="AG418" s="0" t="s">
        <v>46</v>
      </c>
      <c r="AH418" s="0" t="s">
        <v>2371</v>
      </c>
      <c r="AI418" s="0" t="s">
        <v>46</v>
      </c>
      <c r="AJ418" s="0" t="s">
        <v>46</v>
      </c>
      <c r="AK418" s="0" t="s">
        <v>46</v>
      </c>
      <c r="AL418" s="0" t="s">
        <v>46</v>
      </c>
    </row>
    <row r="419" s="2" customFormat="true" ht="15" hidden="false" customHeight="false" outlineLevel="0" collapsed="false">
      <c r="B419" s="2" t="str">
        <f aca="false">HYPERLINK("https://genome.ucsc.edu/cgi-bin/hgTracks?db=hg19&amp;position=chr9%3A139405490%2D139405490", "chr9:139405490")</f>
        <v>chr9:139405490</v>
      </c>
      <c r="C419" s="2" t="s">
        <v>2276</v>
      </c>
      <c r="D419" s="2" t="n">
        <v>139405490</v>
      </c>
      <c r="E419" s="2" t="n">
        <v>139405490</v>
      </c>
      <c r="F419" s="2" t="s">
        <v>40</v>
      </c>
      <c r="G419" s="2" t="s">
        <v>82</v>
      </c>
      <c r="H419" s="2" t="s">
        <v>2372</v>
      </c>
      <c r="I419" s="2" t="s">
        <v>621</v>
      </c>
      <c r="J419" s="2" t="s">
        <v>2373</v>
      </c>
      <c r="K419" s="2" t="s">
        <v>46</v>
      </c>
      <c r="L419" s="2" t="str">
        <f aca="false">HYPERLINK("https://www.ncbi.nlm.nih.gov/snp/rs752143139", "rs752143139")</f>
        <v>rs752143139</v>
      </c>
      <c r="M419" s="2" t="str">
        <f aca="false">HYPERLINK("https://www.genecards.org/Search/Keyword?queryString=%5Baliases%5D(%20NOTCH1%20)&amp;keywords=NOTCH1", "NOTCH1")</f>
        <v>NOTCH1</v>
      </c>
      <c r="N419" s="2" t="s">
        <v>45</v>
      </c>
      <c r="O419" s="2" t="s">
        <v>46</v>
      </c>
      <c r="P419" s="2" t="s">
        <v>46</v>
      </c>
      <c r="Q419" s="2" t="n">
        <v>0.0001153</v>
      </c>
      <c r="R419" s="2" t="n">
        <v>-1</v>
      </c>
      <c r="S419" s="2" t="n">
        <v>7.346E-005</v>
      </c>
      <c r="T419" s="2" t="n">
        <v>-1</v>
      </c>
      <c r="U419" s="2" t="n">
        <v>-1</v>
      </c>
      <c r="V419" s="2" t="s">
        <v>46</v>
      </c>
      <c r="W419" s="2" t="s">
        <v>46</v>
      </c>
      <c r="X419" s="2" t="s">
        <v>47</v>
      </c>
      <c r="Y419" s="2" t="s">
        <v>48</v>
      </c>
      <c r="Z419" s="2" t="s">
        <v>46</v>
      </c>
      <c r="AA419" s="2" t="s">
        <v>46</v>
      </c>
      <c r="AB419" s="2" t="s">
        <v>46</v>
      </c>
      <c r="AC419" s="2" t="s">
        <v>50</v>
      </c>
      <c r="AD419" s="2" t="s">
        <v>51</v>
      </c>
      <c r="AE419" s="2" t="s">
        <v>2374</v>
      </c>
      <c r="AF419" s="2" t="s">
        <v>2375</v>
      </c>
      <c r="AG419" s="2" t="s">
        <v>2376</v>
      </c>
      <c r="AH419" s="2" t="s">
        <v>2377</v>
      </c>
      <c r="AI419" s="2" t="s">
        <v>46</v>
      </c>
      <c r="AJ419" s="2" t="s">
        <v>46</v>
      </c>
      <c r="AK419" s="2" t="s">
        <v>46</v>
      </c>
      <c r="AL419" s="2" t="s">
        <v>46</v>
      </c>
    </row>
    <row r="420" customFormat="false" ht="15" hidden="false" customHeight="false" outlineLevel="0" collapsed="false">
      <c r="B420" s="0" t="str">
        <f aca="false">HYPERLINK("https://genome.ucsc.edu/cgi-bin/hgTracks?db=hg19&amp;position=chr9%3A140249147%2D140249147", "chr9:140249147")</f>
        <v>chr9:140249147</v>
      </c>
      <c r="C420" s="0" t="s">
        <v>2276</v>
      </c>
      <c r="D420" s="0" t="n">
        <v>140249147</v>
      </c>
      <c r="E420" s="0" t="n">
        <v>140249147</v>
      </c>
      <c r="F420" s="0" t="s">
        <v>40</v>
      </c>
      <c r="G420" s="0" t="s">
        <v>82</v>
      </c>
      <c r="H420" s="0" t="s">
        <v>2378</v>
      </c>
      <c r="I420" s="0" t="s">
        <v>2379</v>
      </c>
      <c r="J420" s="0" t="s">
        <v>2380</v>
      </c>
      <c r="K420" s="0" t="s">
        <v>46</v>
      </c>
      <c r="L420" s="0" t="str">
        <f aca="false">HYPERLINK("https://www.ncbi.nlm.nih.gov/snp/rs143654067", "rs143654067")</f>
        <v>rs143654067</v>
      </c>
      <c r="M420" s="0" t="str">
        <f aca="false">HYPERLINK("https://www.genecards.org/Search/Keyword?queryString=%5Baliases%5D(%20EXD3%20)&amp;keywords=EXD3", "EXD3")</f>
        <v>EXD3</v>
      </c>
      <c r="N420" s="0" t="s">
        <v>2381</v>
      </c>
      <c r="O420" s="0" t="s">
        <v>63</v>
      </c>
      <c r="P420" s="0" t="s">
        <v>2382</v>
      </c>
      <c r="Q420" s="0" t="n">
        <v>0.025</v>
      </c>
      <c r="R420" s="0" t="n">
        <v>0.0256</v>
      </c>
      <c r="S420" s="0" t="n">
        <v>0.025</v>
      </c>
      <c r="T420" s="0" t="n">
        <v>-1</v>
      </c>
      <c r="U420" s="0" t="n">
        <v>0.0273</v>
      </c>
      <c r="V420" s="0" t="s">
        <v>46</v>
      </c>
      <c r="W420" s="0" t="s">
        <v>47</v>
      </c>
      <c r="X420" s="0" t="s">
        <v>46</v>
      </c>
      <c r="Y420" s="0" t="s">
        <v>46</v>
      </c>
      <c r="Z420" s="0" t="s">
        <v>46</v>
      </c>
      <c r="AA420" s="0" t="s">
        <v>46</v>
      </c>
      <c r="AB420" s="0" t="s">
        <v>46</v>
      </c>
      <c r="AC420" s="0" t="s">
        <v>50</v>
      </c>
      <c r="AD420" s="0" t="s">
        <v>51</v>
      </c>
      <c r="AE420" s="0" t="s">
        <v>2383</v>
      </c>
      <c r="AF420" s="0" t="s">
        <v>2384</v>
      </c>
      <c r="AG420" s="0" t="s">
        <v>2385</v>
      </c>
      <c r="AH420" s="0" t="s">
        <v>46</v>
      </c>
      <c r="AI420" s="0" t="s">
        <v>46</v>
      </c>
      <c r="AJ420" s="0" t="s">
        <v>46</v>
      </c>
      <c r="AK420" s="0" t="s">
        <v>46</v>
      </c>
      <c r="AL420" s="0" t="s">
        <v>46</v>
      </c>
    </row>
    <row r="421" customFormat="false" ht="15" hidden="false" customHeight="false" outlineLevel="0" collapsed="false">
      <c r="B421" s="0" t="str">
        <f aca="false">HYPERLINK("https://genome.ucsc.edu/cgi-bin/hgTracks?db=hg19&amp;position=chr9%3A140373789%2D140373789", "chr9:140373789")</f>
        <v>chr9:140373789</v>
      </c>
      <c r="C421" s="0" t="s">
        <v>2276</v>
      </c>
      <c r="D421" s="0" t="n">
        <v>140373789</v>
      </c>
      <c r="E421" s="0" t="n">
        <v>140373789</v>
      </c>
      <c r="F421" s="0" t="s">
        <v>40</v>
      </c>
      <c r="G421" s="0" t="s">
        <v>82</v>
      </c>
      <c r="H421" s="0" t="s">
        <v>2386</v>
      </c>
      <c r="I421" s="0" t="s">
        <v>442</v>
      </c>
      <c r="J421" s="0" t="s">
        <v>2137</v>
      </c>
      <c r="K421" s="0" t="s">
        <v>46</v>
      </c>
      <c r="L421" s="0" t="str">
        <f aca="false">HYPERLINK("https://www.ncbi.nlm.nih.gov/snp/rs872341", "rs872341")</f>
        <v>rs872341</v>
      </c>
      <c r="M421" s="0" t="str">
        <f aca="false">HYPERLINK("https://www.genecards.org/Search/Keyword?queryString=%5Baliases%5D(%20PNPLA7%20)&amp;keywords=PNPLA7", "PNPLA7")</f>
        <v>PNPLA7</v>
      </c>
      <c r="N421" s="0" t="s">
        <v>45</v>
      </c>
      <c r="O421" s="0" t="s">
        <v>46</v>
      </c>
      <c r="P421" s="0" t="s">
        <v>46</v>
      </c>
      <c r="Q421" s="0" t="n">
        <v>0.0092</v>
      </c>
      <c r="R421" s="0" t="n">
        <v>0.0069</v>
      </c>
      <c r="S421" s="0" t="n">
        <v>0.0068</v>
      </c>
      <c r="T421" s="0" t="n">
        <v>-1</v>
      </c>
      <c r="U421" s="0" t="n">
        <v>0.0122</v>
      </c>
      <c r="V421" s="0" t="s">
        <v>46</v>
      </c>
      <c r="W421" s="0" t="s">
        <v>46</v>
      </c>
      <c r="X421" s="0" t="s">
        <v>47</v>
      </c>
      <c r="Y421" s="0" t="s">
        <v>48</v>
      </c>
      <c r="Z421" s="0" t="s">
        <v>46</v>
      </c>
      <c r="AA421" s="0" t="s">
        <v>46</v>
      </c>
      <c r="AB421" s="0" t="s">
        <v>46</v>
      </c>
      <c r="AC421" s="0" t="s">
        <v>50</v>
      </c>
      <c r="AD421" s="0" t="s">
        <v>51</v>
      </c>
      <c r="AE421" s="0" t="s">
        <v>2387</v>
      </c>
      <c r="AF421" s="0" t="s">
        <v>2388</v>
      </c>
      <c r="AG421" s="0" t="s">
        <v>2389</v>
      </c>
      <c r="AH421" s="0" t="s">
        <v>46</v>
      </c>
      <c r="AI421" s="0" t="s">
        <v>46</v>
      </c>
      <c r="AJ421" s="0" t="s">
        <v>46</v>
      </c>
      <c r="AK421" s="0" t="s">
        <v>46</v>
      </c>
      <c r="AL421" s="0" t="s">
        <v>46</v>
      </c>
    </row>
    <row r="422" customFormat="false" ht="15" hidden="false" customHeight="false" outlineLevel="0" collapsed="false">
      <c r="B422" s="0" t="str">
        <f aca="false">HYPERLINK("https://genome.ucsc.edu/cgi-bin/hgTracks?db=hg19&amp;position=chr9%3A140681664%2D140681664", "chr9:140681664")</f>
        <v>chr9:140681664</v>
      </c>
      <c r="C422" s="0" t="s">
        <v>2276</v>
      </c>
      <c r="D422" s="0" t="n">
        <v>140681664</v>
      </c>
      <c r="E422" s="0" t="n">
        <v>140681664</v>
      </c>
      <c r="F422" s="0" t="s">
        <v>185</v>
      </c>
      <c r="G422" s="0" t="s">
        <v>57</v>
      </c>
      <c r="H422" s="0" t="s">
        <v>2390</v>
      </c>
      <c r="I422" s="0" t="s">
        <v>1003</v>
      </c>
      <c r="J422" s="0" t="s">
        <v>1037</v>
      </c>
      <c r="K422" s="0" t="s">
        <v>46</v>
      </c>
      <c r="L422" s="0" t="str">
        <f aca="false">HYPERLINK("https://www.ncbi.nlm.nih.gov/snp/rs201649287", "rs201649287")</f>
        <v>rs201649287</v>
      </c>
      <c r="M422" s="0" t="str">
        <f aca="false">HYPERLINK("https://www.genecards.org/Search/Keyword?queryString=%5Baliases%5D(%20EHMT1%20)%20OR%20%5Baliases%5D(%20LOC651337%20)&amp;keywords=EHMT1,LOC651337", "EHMT1;LOC651337")</f>
        <v>EHMT1;LOC651337</v>
      </c>
      <c r="N422" s="0" t="s">
        <v>306</v>
      </c>
      <c r="O422" s="0" t="s">
        <v>46</v>
      </c>
      <c r="P422" s="0" t="s">
        <v>46</v>
      </c>
      <c r="Q422" s="0" t="n">
        <v>0.0045</v>
      </c>
      <c r="R422" s="0" t="n">
        <v>0.0046</v>
      </c>
      <c r="S422" s="0" t="n">
        <v>0.0045</v>
      </c>
      <c r="T422" s="0" t="n">
        <v>-1</v>
      </c>
      <c r="U422" s="0" t="n">
        <v>0.0055</v>
      </c>
      <c r="V422" s="0" t="s">
        <v>46</v>
      </c>
      <c r="W422" s="0" t="s">
        <v>46</v>
      </c>
      <c r="X422" s="0" t="s">
        <v>46</v>
      </c>
      <c r="Y422" s="0" t="s">
        <v>46</v>
      </c>
      <c r="Z422" s="0" t="s">
        <v>46</v>
      </c>
      <c r="AA422" s="0" t="s">
        <v>46</v>
      </c>
      <c r="AB422" s="0" t="s">
        <v>46</v>
      </c>
      <c r="AC422" s="0" t="s">
        <v>50</v>
      </c>
      <c r="AD422" s="0" t="s">
        <v>191</v>
      </c>
      <c r="AE422" s="0" t="s">
        <v>2391</v>
      </c>
      <c r="AF422" s="0" t="s">
        <v>2392</v>
      </c>
      <c r="AG422" s="0" t="s">
        <v>2393</v>
      </c>
      <c r="AH422" s="0" t="s">
        <v>2394</v>
      </c>
      <c r="AI422" s="0" t="s">
        <v>46</v>
      </c>
      <c r="AJ422" s="0" t="s">
        <v>46</v>
      </c>
      <c r="AK422" s="0" t="s">
        <v>46</v>
      </c>
      <c r="AL422" s="0" t="s">
        <v>46</v>
      </c>
    </row>
    <row r="423" customFormat="false" ht="15" hidden="false" customHeight="false" outlineLevel="0" collapsed="false">
      <c r="B423" s="0" t="str">
        <f aca="false">HYPERLINK("https://genome.ucsc.edu/cgi-bin/hgTracks?db=hg19&amp;position=chrX%3A2832668%2D2832668", "chrX:2832668")</f>
        <v>chrX:2832668</v>
      </c>
      <c r="C423" s="0" t="s">
        <v>2395</v>
      </c>
      <c r="D423" s="0" t="n">
        <v>2832668</v>
      </c>
      <c r="E423" s="0" t="n">
        <v>2832668</v>
      </c>
      <c r="F423" s="0" t="s">
        <v>57</v>
      </c>
      <c r="G423" s="0" t="s">
        <v>39</v>
      </c>
      <c r="H423" s="0" t="s">
        <v>2396</v>
      </c>
      <c r="I423" s="0" t="s">
        <v>535</v>
      </c>
      <c r="J423" s="0" t="s">
        <v>2397</v>
      </c>
      <c r="K423" s="0" t="s">
        <v>46</v>
      </c>
      <c r="L423" s="0" t="str">
        <f aca="false">HYPERLINK("https://www.ncbi.nlm.nih.gov/snp/rs139484145", "rs139484145")</f>
        <v>rs139484145</v>
      </c>
      <c r="M423" s="0" t="str">
        <f aca="false">HYPERLINK("https://www.genecards.org/Search/Keyword?queryString=%5Baliases%5D(%20ARSD%20)&amp;keywords=ARSD", "ARSD")</f>
        <v>ARSD</v>
      </c>
      <c r="N423" s="0" t="s">
        <v>280</v>
      </c>
      <c r="O423" s="0" t="s">
        <v>2134</v>
      </c>
      <c r="P423" s="0" t="s">
        <v>2398</v>
      </c>
      <c r="Q423" s="0" t="n">
        <v>0.0028978</v>
      </c>
      <c r="R423" s="0" t="n">
        <v>0.0025</v>
      </c>
      <c r="S423" s="0" t="n">
        <v>0.0031</v>
      </c>
      <c r="T423" s="0" t="n">
        <v>-1</v>
      </c>
      <c r="U423" s="0" t="n">
        <v>0.0083</v>
      </c>
      <c r="V423" s="0" t="s">
        <v>46</v>
      </c>
      <c r="W423" s="0" t="s">
        <v>46</v>
      </c>
      <c r="X423" s="0" t="s">
        <v>46</v>
      </c>
      <c r="Y423" s="0" t="s">
        <v>46</v>
      </c>
      <c r="Z423" s="0" t="s">
        <v>46</v>
      </c>
      <c r="AA423" s="0" t="s">
        <v>46</v>
      </c>
      <c r="AB423" s="0" t="s">
        <v>46</v>
      </c>
      <c r="AC423" s="0" t="s">
        <v>50</v>
      </c>
      <c r="AD423" s="0" t="s">
        <v>147</v>
      </c>
      <c r="AE423" s="0" t="s">
        <v>2399</v>
      </c>
      <c r="AF423" s="0" t="s">
        <v>2400</v>
      </c>
      <c r="AG423" s="0" t="s">
        <v>46</v>
      </c>
      <c r="AH423" s="0" t="s">
        <v>46</v>
      </c>
      <c r="AI423" s="0" t="s">
        <v>46</v>
      </c>
      <c r="AJ423" s="0" t="s">
        <v>46</v>
      </c>
      <c r="AK423" s="0" t="s">
        <v>46</v>
      </c>
      <c r="AL423" s="0" t="s">
        <v>46</v>
      </c>
    </row>
    <row r="424" customFormat="false" ht="15" hidden="false" customHeight="false" outlineLevel="0" collapsed="false">
      <c r="B424" s="0" t="str">
        <f aca="false">HYPERLINK("https://genome.ucsc.edu/cgi-bin/hgTracks?db=hg19&amp;position=chrX%3A2836349%2D2836349", "chrX:2836349")</f>
        <v>chrX:2836349</v>
      </c>
      <c r="C424" s="0" t="s">
        <v>2395</v>
      </c>
      <c r="D424" s="0" t="n">
        <v>2836349</v>
      </c>
      <c r="E424" s="0" t="n">
        <v>2836349</v>
      </c>
      <c r="F424" s="0" t="s">
        <v>39</v>
      </c>
      <c r="G424" s="0" t="s">
        <v>40</v>
      </c>
      <c r="H424" s="0" t="s">
        <v>2401</v>
      </c>
      <c r="I424" s="0" t="s">
        <v>296</v>
      </c>
      <c r="J424" s="0" t="s">
        <v>1610</v>
      </c>
      <c r="K424" s="0" t="s">
        <v>46</v>
      </c>
      <c r="L424" s="0" t="str">
        <f aca="false">HYPERLINK("https://www.ncbi.nlm.nih.gov/snp/rs111614007", "rs111614007")</f>
        <v>rs111614007</v>
      </c>
      <c r="M424" s="0" t="str">
        <f aca="false">HYPERLINK("https://www.genecards.org/Search/Keyword?queryString=%5Baliases%5D(%20ARSD%20)&amp;keywords=ARSD", "ARSD")</f>
        <v>ARSD</v>
      </c>
      <c r="N424" s="0" t="s">
        <v>45</v>
      </c>
      <c r="O424" s="0" t="s">
        <v>46</v>
      </c>
      <c r="P424" s="0" t="s">
        <v>46</v>
      </c>
      <c r="Q424" s="0" t="n">
        <v>0.003576</v>
      </c>
      <c r="R424" s="0" t="n">
        <v>0.0025</v>
      </c>
      <c r="S424" s="0" t="n">
        <v>0.0032</v>
      </c>
      <c r="T424" s="0" t="n">
        <v>-1</v>
      </c>
      <c r="U424" s="0" t="n">
        <v>0.0084</v>
      </c>
      <c r="V424" s="0" t="s">
        <v>46</v>
      </c>
      <c r="W424" s="0" t="s">
        <v>46</v>
      </c>
      <c r="X424" s="0" t="s">
        <v>47</v>
      </c>
      <c r="Y424" s="0" t="s">
        <v>48</v>
      </c>
      <c r="Z424" s="0" t="s">
        <v>46</v>
      </c>
      <c r="AA424" s="0" t="s">
        <v>46</v>
      </c>
      <c r="AB424" s="0" t="s">
        <v>46</v>
      </c>
      <c r="AC424" s="0" t="s">
        <v>50</v>
      </c>
      <c r="AD424" s="0" t="s">
        <v>147</v>
      </c>
      <c r="AE424" s="0" t="s">
        <v>2399</v>
      </c>
      <c r="AF424" s="0" t="s">
        <v>2400</v>
      </c>
      <c r="AG424" s="0" t="s">
        <v>46</v>
      </c>
      <c r="AH424" s="0" t="s">
        <v>46</v>
      </c>
      <c r="AI424" s="0" t="s">
        <v>46</v>
      </c>
      <c r="AJ424" s="0" t="s">
        <v>46</v>
      </c>
      <c r="AK424" s="0" t="s">
        <v>46</v>
      </c>
      <c r="AL424" s="0" t="s">
        <v>46</v>
      </c>
    </row>
    <row r="425" customFormat="false" ht="15" hidden="false" customHeight="false" outlineLevel="0" collapsed="false">
      <c r="B425" s="0" t="str">
        <f aca="false">HYPERLINK("https://genome.ucsc.edu/cgi-bin/hgTracks?db=hg19&amp;position=chrX%3A18800524%2D18800524", "chrX:18800524")</f>
        <v>chrX:18800524</v>
      </c>
      <c r="C425" s="0" t="s">
        <v>2395</v>
      </c>
      <c r="D425" s="0" t="n">
        <v>18800524</v>
      </c>
      <c r="E425" s="0" t="n">
        <v>18800524</v>
      </c>
      <c r="F425" s="0" t="s">
        <v>57</v>
      </c>
      <c r="G425" s="0" t="s">
        <v>39</v>
      </c>
      <c r="H425" s="0" t="s">
        <v>2402</v>
      </c>
      <c r="I425" s="0" t="s">
        <v>1367</v>
      </c>
      <c r="J425" s="0" t="s">
        <v>2403</v>
      </c>
      <c r="K425" s="0" t="s">
        <v>46</v>
      </c>
      <c r="L425" s="0" t="str">
        <f aca="false">HYPERLINK("https://www.ncbi.nlm.nih.gov/snp/rs779191658", "rs779191658")</f>
        <v>rs779191658</v>
      </c>
      <c r="M425" s="0" t="str">
        <f aca="false">HYPERLINK("https://www.genecards.org/Search/Keyword?queryString=%5Baliases%5D(%20PPEF1%20)&amp;keywords=PPEF1", "PPEF1")</f>
        <v>PPEF1</v>
      </c>
      <c r="N425" s="0" t="s">
        <v>45</v>
      </c>
      <c r="O425" s="0" t="s">
        <v>46</v>
      </c>
      <c r="P425" s="0" t="s">
        <v>46</v>
      </c>
      <c r="Q425" s="0" t="n">
        <v>0.001</v>
      </c>
      <c r="R425" s="0" t="n">
        <v>-1</v>
      </c>
      <c r="S425" s="0" t="n">
        <v>-1</v>
      </c>
      <c r="T425" s="0" t="n">
        <v>-1</v>
      </c>
      <c r="U425" s="0" t="n">
        <v>-1</v>
      </c>
      <c r="V425" s="0" t="s">
        <v>46</v>
      </c>
      <c r="W425" s="0" t="s">
        <v>47</v>
      </c>
      <c r="X425" s="0" t="s">
        <v>47</v>
      </c>
      <c r="Y425" s="0" t="s">
        <v>200</v>
      </c>
      <c r="Z425" s="0" t="s">
        <v>46</v>
      </c>
      <c r="AA425" s="0" t="s">
        <v>46</v>
      </c>
      <c r="AB425" s="0" t="s">
        <v>46</v>
      </c>
      <c r="AC425" s="0" t="s">
        <v>219</v>
      </c>
      <c r="AD425" s="0" t="s">
        <v>51</v>
      </c>
      <c r="AE425" s="0" t="s">
        <v>2404</v>
      </c>
      <c r="AF425" s="0" t="s">
        <v>2405</v>
      </c>
      <c r="AG425" s="0" t="s">
        <v>2406</v>
      </c>
      <c r="AH425" s="0" t="s">
        <v>46</v>
      </c>
      <c r="AI425" s="0" t="s">
        <v>46</v>
      </c>
      <c r="AJ425" s="0" t="s">
        <v>46</v>
      </c>
      <c r="AK425" s="0" t="s">
        <v>46</v>
      </c>
      <c r="AL425" s="0" t="s">
        <v>46</v>
      </c>
    </row>
    <row r="426" customFormat="false" ht="15" hidden="false" customHeight="false" outlineLevel="0" collapsed="false">
      <c r="B426" s="0" t="str">
        <f aca="false">HYPERLINK("https://genome.ucsc.edu/cgi-bin/hgTracks?db=hg19&amp;position=chrX%3A39931047%2D39931047", "chrX:39931047")</f>
        <v>chrX:39931047</v>
      </c>
      <c r="C426" s="0" t="s">
        <v>2395</v>
      </c>
      <c r="D426" s="0" t="n">
        <v>39931047</v>
      </c>
      <c r="E426" s="0" t="n">
        <v>39931047</v>
      </c>
      <c r="F426" s="0" t="s">
        <v>82</v>
      </c>
      <c r="G426" s="0" t="s">
        <v>57</v>
      </c>
      <c r="H426" s="0" t="s">
        <v>1378</v>
      </c>
      <c r="I426" s="0" t="s">
        <v>404</v>
      </c>
      <c r="J426" s="0" t="s">
        <v>2407</v>
      </c>
      <c r="K426" s="0" t="s">
        <v>46</v>
      </c>
      <c r="L426" s="0" t="s">
        <v>46</v>
      </c>
      <c r="M426" s="0" t="str">
        <f aca="false">HYPERLINK("https://www.genecards.org/Search/Keyword?queryString=%5Baliases%5D(%20BCOR%20)&amp;keywords=BCOR", "BCOR")</f>
        <v>BCOR</v>
      </c>
      <c r="N426" s="0" t="s">
        <v>45</v>
      </c>
      <c r="O426" s="0" t="s">
        <v>46</v>
      </c>
      <c r="P426" s="0" t="s">
        <v>46</v>
      </c>
      <c r="Q426" s="0" t="n">
        <v>-1</v>
      </c>
      <c r="R426" s="0" t="n">
        <v>-1</v>
      </c>
      <c r="S426" s="0" t="n">
        <v>-1</v>
      </c>
      <c r="T426" s="0" t="n">
        <v>-1</v>
      </c>
      <c r="U426" s="0" t="n">
        <v>-1</v>
      </c>
      <c r="V426" s="0" t="s">
        <v>46</v>
      </c>
      <c r="W426" s="0" t="s">
        <v>46</v>
      </c>
      <c r="X426" s="0" t="s">
        <v>47</v>
      </c>
      <c r="Y426" s="0" t="s">
        <v>48</v>
      </c>
      <c r="Z426" s="0" t="s">
        <v>46</v>
      </c>
      <c r="AA426" s="0" t="s">
        <v>46</v>
      </c>
      <c r="AB426" s="0" t="s">
        <v>46</v>
      </c>
      <c r="AC426" s="0" t="s">
        <v>50</v>
      </c>
      <c r="AD426" s="0" t="s">
        <v>210</v>
      </c>
      <c r="AE426" s="0" t="s">
        <v>2408</v>
      </c>
      <c r="AF426" s="0" t="s">
        <v>2409</v>
      </c>
      <c r="AG426" s="0" t="s">
        <v>2410</v>
      </c>
      <c r="AH426" s="0" t="s">
        <v>46</v>
      </c>
      <c r="AI426" s="0" t="s">
        <v>46</v>
      </c>
      <c r="AJ426" s="0" t="s">
        <v>46</v>
      </c>
      <c r="AK426" s="0" t="s">
        <v>46</v>
      </c>
      <c r="AL426" s="0" t="s">
        <v>46</v>
      </c>
    </row>
    <row r="427" customFormat="false" ht="15" hidden="false" customHeight="false" outlineLevel="0" collapsed="false">
      <c r="B427" s="0" t="str">
        <f aca="false">HYPERLINK("https://genome.ucsc.edu/cgi-bin/hgTracks?db=hg19&amp;position=chrX%3A39931049%2D39931049", "chrX:39931049")</f>
        <v>chrX:39931049</v>
      </c>
      <c r="C427" s="0" t="s">
        <v>2395</v>
      </c>
      <c r="D427" s="0" t="n">
        <v>39931049</v>
      </c>
      <c r="E427" s="0" t="n">
        <v>39931049</v>
      </c>
      <c r="F427" s="0" t="s">
        <v>82</v>
      </c>
      <c r="G427" s="0" t="s">
        <v>40</v>
      </c>
      <c r="H427" s="0" t="s">
        <v>1378</v>
      </c>
      <c r="I427" s="0" t="s">
        <v>404</v>
      </c>
      <c r="J427" s="0" t="s">
        <v>2407</v>
      </c>
      <c r="K427" s="0" t="s">
        <v>46</v>
      </c>
      <c r="L427" s="0" t="s">
        <v>46</v>
      </c>
      <c r="M427" s="0" t="str">
        <f aca="false">HYPERLINK("https://www.genecards.org/Search/Keyword?queryString=%5Baliases%5D(%20BCOR%20)&amp;keywords=BCOR", "BCOR")</f>
        <v>BCOR</v>
      </c>
      <c r="N427" s="0" t="s">
        <v>45</v>
      </c>
      <c r="O427" s="0" t="s">
        <v>46</v>
      </c>
      <c r="P427" s="0" t="s">
        <v>46</v>
      </c>
      <c r="Q427" s="0" t="n">
        <v>-1</v>
      </c>
      <c r="R427" s="0" t="n">
        <v>-1</v>
      </c>
      <c r="S427" s="0" t="n">
        <v>-1</v>
      </c>
      <c r="T427" s="0" t="n">
        <v>-1</v>
      </c>
      <c r="U427" s="0" t="n">
        <v>-1</v>
      </c>
      <c r="V427" s="0" t="s">
        <v>46</v>
      </c>
      <c r="W427" s="0" t="s">
        <v>46</v>
      </c>
      <c r="X427" s="0" t="s">
        <v>47</v>
      </c>
      <c r="Y427" s="0" t="s">
        <v>48</v>
      </c>
      <c r="Z427" s="0" t="s">
        <v>46</v>
      </c>
      <c r="AA427" s="0" t="s">
        <v>46</v>
      </c>
      <c r="AB427" s="0" t="s">
        <v>46</v>
      </c>
      <c r="AC427" s="0" t="s">
        <v>50</v>
      </c>
      <c r="AD427" s="0" t="s">
        <v>210</v>
      </c>
      <c r="AE427" s="0" t="s">
        <v>2408</v>
      </c>
      <c r="AF427" s="0" t="s">
        <v>2409</v>
      </c>
      <c r="AG427" s="0" t="s">
        <v>2410</v>
      </c>
      <c r="AH427" s="0" t="s">
        <v>46</v>
      </c>
      <c r="AI427" s="0" t="s">
        <v>46</v>
      </c>
      <c r="AJ427" s="0" t="s">
        <v>46</v>
      </c>
      <c r="AK427" s="0" t="s">
        <v>46</v>
      </c>
      <c r="AL427" s="0" t="s">
        <v>46</v>
      </c>
    </row>
    <row r="428" customFormat="false" ht="15" hidden="false" customHeight="false" outlineLevel="0" collapsed="false">
      <c r="B428" s="0" t="str">
        <f aca="false">HYPERLINK("https://genome.ucsc.edu/cgi-bin/hgTracks?db=hg19&amp;position=chrX%3A39931055%2D39931055", "chrX:39931055")</f>
        <v>chrX:39931055</v>
      </c>
      <c r="C428" s="0" t="s">
        <v>2395</v>
      </c>
      <c r="D428" s="0" t="n">
        <v>39931055</v>
      </c>
      <c r="E428" s="0" t="n">
        <v>39931055</v>
      </c>
      <c r="F428" s="0" t="s">
        <v>82</v>
      </c>
      <c r="G428" s="0" t="s">
        <v>40</v>
      </c>
      <c r="H428" s="0" t="s">
        <v>429</v>
      </c>
      <c r="I428" s="0" t="s">
        <v>733</v>
      </c>
      <c r="J428" s="0" t="s">
        <v>2411</v>
      </c>
      <c r="K428" s="0" t="s">
        <v>46</v>
      </c>
      <c r="L428" s="0" t="s">
        <v>46</v>
      </c>
      <c r="M428" s="0" t="str">
        <f aca="false">HYPERLINK("https://www.genecards.org/Search/Keyword?queryString=%5Baliases%5D(%20BCOR%20)&amp;keywords=BCOR", "BCOR")</f>
        <v>BCOR</v>
      </c>
      <c r="N428" s="0" t="s">
        <v>45</v>
      </c>
      <c r="O428" s="0" t="s">
        <v>46</v>
      </c>
      <c r="P428" s="0" t="s">
        <v>46</v>
      </c>
      <c r="Q428" s="0" t="n">
        <v>-1</v>
      </c>
      <c r="R428" s="0" t="n">
        <v>-1</v>
      </c>
      <c r="S428" s="0" t="n">
        <v>-1</v>
      </c>
      <c r="T428" s="0" t="n">
        <v>-1</v>
      </c>
      <c r="U428" s="0" t="n">
        <v>-1</v>
      </c>
      <c r="V428" s="0" t="s">
        <v>46</v>
      </c>
      <c r="W428" s="0" t="s">
        <v>46</v>
      </c>
      <c r="X428" s="0" t="s">
        <v>47</v>
      </c>
      <c r="Y428" s="0" t="s">
        <v>48</v>
      </c>
      <c r="Z428" s="0" t="s">
        <v>46</v>
      </c>
      <c r="AA428" s="0" t="s">
        <v>46</v>
      </c>
      <c r="AB428" s="0" t="s">
        <v>46</v>
      </c>
      <c r="AC428" s="0" t="s">
        <v>50</v>
      </c>
      <c r="AD428" s="0" t="s">
        <v>210</v>
      </c>
      <c r="AE428" s="0" t="s">
        <v>2408</v>
      </c>
      <c r="AF428" s="0" t="s">
        <v>2409</v>
      </c>
      <c r="AG428" s="0" t="s">
        <v>2410</v>
      </c>
      <c r="AH428" s="0" t="s">
        <v>46</v>
      </c>
      <c r="AI428" s="0" t="s">
        <v>46</v>
      </c>
      <c r="AJ428" s="0" t="s">
        <v>46</v>
      </c>
      <c r="AK428" s="0" t="s">
        <v>46</v>
      </c>
      <c r="AL428" s="0" t="s">
        <v>46</v>
      </c>
    </row>
    <row r="429" customFormat="false" ht="15" hidden="false" customHeight="false" outlineLevel="0" collapsed="false">
      <c r="B429" s="0" t="str">
        <f aca="false">HYPERLINK("https://genome.ucsc.edu/cgi-bin/hgTracks?db=hg19&amp;position=chrX%3A39931059%2D39931059", "chrX:39931059")</f>
        <v>chrX:39931059</v>
      </c>
      <c r="C429" s="0" t="s">
        <v>2395</v>
      </c>
      <c r="D429" s="0" t="n">
        <v>39931059</v>
      </c>
      <c r="E429" s="0" t="n">
        <v>39931059</v>
      </c>
      <c r="F429" s="0" t="s">
        <v>57</v>
      </c>
      <c r="G429" s="0" t="s">
        <v>40</v>
      </c>
      <c r="H429" s="0" t="s">
        <v>429</v>
      </c>
      <c r="I429" s="0" t="s">
        <v>733</v>
      </c>
      <c r="J429" s="0" t="s">
        <v>2411</v>
      </c>
      <c r="K429" s="0" t="s">
        <v>46</v>
      </c>
      <c r="L429" s="0" t="s">
        <v>46</v>
      </c>
      <c r="M429" s="0" t="str">
        <f aca="false">HYPERLINK("https://www.genecards.org/Search/Keyword?queryString=%5Baliases%5D(%20BCOR%20)&amp;keywords=BCOR", "BCOR")</f>
        <v>BCOR</v>
      </c>
      <c r="N429" s="0" t="s">
        <v>45</v>
      </c>
      <c r="O429" s="0" t="s">
        <v>46</v>
      </c>
      <c r="P429" s="0" t="s">
        <v>46</v>
      </c>
      <c r="Q429" s="0" t="n">
        <v>-1</v>
      </c>
      <c r="R429" s="0" t="n">
        <v>-1</v>
      </c>
      <c r="S429" s="0" t="n">
        <v>-1</v>
      </c>
      <c r="T429" s="0" t="n">
        <v>-1</v>
      </c>
      <c r="U429" s="0" t="n">
        <v>-1</v>
      </c>
      <c r="V429" s="0" t="s">
        <v>46</v>
      </c>
      <c r="W429" s="0" t="s">
        <v>46</v>
      </c>
      <c r="X429" s="0" t="s">
        <v>47</v>
      </c>
      <c r="Y429" s="0" t="s">
        <v>48</v>
      </c>
      <c r="Z429" s="0" t="s">
        <v>46</v>
      </c>
      <c r="AA429" s="0" t="s">
        <v>46</v>
      </c>
      <c r="AB429" s="0" t="s">
        <v>46</v>
      </c>
      <c r="AC429" s="0" t="s">
        <v>50</v>
      </c>
      <c r="AD429" s="0" t="s">
        <v>210</v>
      </c>
      <c r="AE429" s="0" t="s">
        <v>2408</v>
      </c>
      <c r="AF429" s="0" t="s">
        <v>2409</v>
      </c>
      <c r="AG429" s="0" t="s">
        <v>2410</v>
      </c>
      <c r="AH429" s="0" t="s">
        <v>46</v>
      </c>
      <c r="AI429" s="0" t="s">
        <v>46</v>
      </c>
      <c r="AJ429" s="0" t="s">
        <v>46</v>
      </c>
      <c r="AK429" s="0" t="s">
        <v>46</v>
      </c>
      <c r="AL429" s="0" t="s">
        <v>46</v>
      </c>
    </row>
    <row r="430" customFormat="false" ht="15" hidden="false" customHeight="false" outlineLevel="0" collapsed="false">
      <c r="B430" s="0" t="str">
        <f aca="false">HYPERLINK("https://genome.ucsc.edu/cgi-bin/hgTracks?db=hg19&amp;position=chrX%3A55172685%2D55172685", "chrX:55172685")</f>
        <v>chrX:55172685</v>
      </c>
      <c r="C430" s="0" t="s">
        <v>2395</v>
      </c>
      <c r="D430" s="0" t="n">
        <v>55172685</v>
      </c>
      <c r="E430" s="0" t="n">
        <v>55172685</v>
      </c>
      <c r="F430" s="0" t="s">
        <v>185</v>
      </c>
      <c r="G430" s="0" t="s">
        <v>82</v>
      </c>
      <c r="H430" s="0" t="s">
        <v>2412</v>
      </c>
      <c r="I430" s="0" t="s">
        <v>2413</v>
      </c>
      <c r="J430" s="0" t="s">
        <v>2414</v>
      </c>
      <c r="K430" s="0" t="s">
        <v>46</v>
      </c>
      <c r="L430" s="0" t="s">
        <v>46</v>
      </c>
      <c r="M430" s="0" t="str">
        <f aca="false">HYPERLINK("https://www.genecards.org/Search/Keyword?queryString=%5Baliases%5D(%20FAM104B%20)&amp;keywords=FAM104B", "FAM104B")</f>
        <v>FAM104B</v>
      </c>
      <c r="N430" s="0" t="s">
        <v>62</v>
      </c>
      <c r="O430" s="0" t="s">
        <v>273</v>
      </c>
      <c r="P430" s="0" t="s">
        <v>2415</v>
      </c>
      <c r="Q430" s="0" t="n">
        <v>-1</v>
      </c>
      <c r="R430" s="0" t="n">
        <v>-1</v>
      </c>
      <c r="S430" s="0" t="n">
        <v>-1</v>
      </c>
      <c r="T430" s="0" t="n">
        <v>-1</v>
      </c>
      <c r="U430" s="0" t="n">
        <v>-1</v>
      </c>
      <c r="V430" s="0" t="s">
        <v>46</v>
      </c>
      <c r="W430" s="0" t="s">
        <v>46</v>
      </c>
      <c r="X430" s="0" t="s">
        <v>46</v>
      </c>
      <c r="Y430" s="0" t="s">
        <v>46</v>
      </c>
      <c r="Z430" s="0" t="s">
        <v>46</v>
      </c>
      <c r="AA430" s="0" t="s">
        <v>46</v>
      </c>
      <c r="AB430" s="0" t="s">
        <v>46</v>
      </c>
      <c r="AC430" s="0" t="s">
        <v>50</v>
      </c>
      <c r="AD430" s="0" t="s">
        <v>147</v>
      </c>
      <c r="AE430" s="0" t="s">
        <v>2416</v>
      </c>
      <c r="AF430" s="0" t="s">
        <v>2417</v>
      </c>
      <c r="AG430" s="0" t="s">
        <v>46</v>
      </c>
      <c r="AH430" s="0" t="s">
        <v>46</v>
      </c>
      <c r="AI430" s="0" t="s">
        <v>2418</v>
      </c>
      <c r="AJ430" s="0" t="s">
        <v>46</v>
      </c>
      <c r="AK430" s="0" t="s">
        <v>46</v>
      </c>
      <c r="AL430" s="0" t="s">
        <v>487</v>
      </c>
    </row>
    <row r="431" customFormat="false" ht="15" hidden="false" customHeight="false" outlineLevel="0" collapsed="false">
      <c r="B431" s="0" t="str">
        <f aca="false">HYPERLINK("https://genome.ucsc.edu/cgi-bin/hgTracks?db=hg19&amp;position=chrX%3A55172689%2D55172689", "chrX:55172689")</f>
        <v>chrX:55172689</v>
      </c>
      <c r="C431" s="0" t="s">
        <v>2395</v>
      </c>
      <c r="D431" s="0" t="n">
        <v>55172689</v>
      </c>
      <c r="E431" s="0" t="n">
        <v>55172689</v>
      </c>
      <c r="F431" s="0" t="s">
        <v>39</v>
      </c>
      <c r="G431" s="0" t="s">
        <v>185</v>
      </c>
      <c r="H431" s="0" t="s">
        <v>2419</v>
      </c>
      <c r="I431" s="0" t="s">
        <v>2420</v>
      </c>
      <c r="J431" s="0" t="s">
        <v>2421</v>
      </c>
      <c r="K431" s="0" t="s">
        <v>46</v>
      </c>
      <c r="L431" s="0" t="s">
        <v>46</v>
      </c>
      <c r="M431" s="0" t="str">
        <f aca="false">HYPERLINK("https://www.genecards.org/Search/Keyword?queryString=%5Baliases%5D(%20FAM104B%20)&amp;keywords=FAM104B", "FAM104B")</f>
        <v>FAM104B</v>
      </c>
      <c r="N431" s="0" t="s">
        <v>62</v>
      </c>
      <c r="O431" s="0" t="s">
        <v>262</v>
      </c>
      <c r="P431" s="0" t="s">
        <v>2422</v>
      </c>
      <c r="Q431" s="0" t="n">
        <v>-1</v>
      </c>
      <c r="R431" s="0" t="n">
        <v>-1</v>
      </c>
      <c r="S431" s="0" t="n">
        <v>-1</v>
      </c>
      <c r="T431" s="0" t="n">
        <v>-1</v>
      </c>
      <c r="U431" s="0" t="n">
        <v>-1</v>
      </c>
      <c r="V431" s="0" t="s">
        <v>46</v>
      </c>
      <c r="W431" s="0" t="s">
        <v>46</v>
      </c>
      <c r="X431" s="0" t="s">
        <v>46</v>
      </c>
      <c r="Y431" s="0" t="s">
        <v>46</v>
      </c>
      <c r="Z431" s="0" t="s">
        <v>46</v>
      </c>
      <c r="AA431" s="0" t="s">
        <v>46</v>
      </c>
      <c r="AB431" s="0" t="s">
        <v>46</v>
      </c>
      <c r="AC431" s="0" t="s">
        <v>50</v>
      </c>
      <c r="AD431" s="0" t="s">
        <v>147</v>
      </c>
      <c r="AE431" s="0" t="s">
        <v>2416</v>
      </c>
      <c r="AF431" s="0" t="s">
        <v>2417</v>
      </c>
      <c r="AG431" s="0" t="s">
        <v>46</v>
      </c>
      <c r="AH431" s="0" t="s">
        <v>46</v>
      </c>
      <c r="AI431" s="0" t="s">
        <v>46</v>
      </c>
      <c r="AJ431" s="0" t="s">
        <v>46</v>
      </c>
      <c r="AK431" s="0" t="s">
        <v>46</v>
      </c>
      <c r="AL431" s="0" t="s">
        <v>487</v>
      </c>
    </row>
    <row r="432" customFormat="false" ht="15" hidden="false" customHeight="false" outlineLevel="0" collapsed="false">
      <c r="B432" s="0" t="str">
        <f aca="false">HYPERLINK("https://genome.ucsc.edu/cgi-bin/hgTracks?db=hg19&amp;position=chrX%3A65244838%2D65244838", "chrX:65244838")</f>
        <v>chrX:65244838</v>
      </c>
      <c r="C432" s="0" t="s">
        <v>2395</v>
      </c>
      <c r="D432" s="0" t="n">
        <v>65244838</v>
      </c>
      <c r="E432" s="0" t="n">
        <v>65244838</v>
      </c>
      <c r="F432" s="0" t="s">
        <v>57</v>
      </c>
      <c r="G432" s="0" t="s">
        <v>82</v>
      </c>
      <c r="H432" s="0" t="s">
        <v>2423</v>
      </c>
      <c r="I432" s="0" t="s">
        <v>1066</v>
      </c>
      <c r="J432" s="0" t="s">
        <v>2424</v>
      </c>
      <c r="K432" s="0" t="s">
        <v>46</v>
      </c>
      <c r="L432" s="0" t="s">
        <v>46</v>
      </c>
      <c r="M432" s="0" t="str">
        <f aca="false">HYPERLINK("https://www.genecards.org/Search/Keyword?queryString=%5Baliases%5D(%20VSIG4%20)&amp;keywords=VSIG4", "VSIG4")</f>
        <v>VSIG4</v>
      </c>
      <c r="N432" s="0" t="s">
        <v>45</v>
      </c>
      <c r="O432" s="0" t="s">
        <v>46</v>
      </c>
      <c r="P432" s="0" t="s">
        <v>46</v>
      </c>
      <c r="Q432" s="0" t="n">
        <v>-1</v>
      </c>
      <c r="R432" s="0" t="n">
        <v>-1</v>
      </c>
      <c r="S432" s="0" t="n">
        <v>-1</v>
      </c>
      <c r="T432" s="0" t="n">
        <v>-1</v>
      </c>
      <c r="U432" s="0" t="n">
        <v>-1</v>
      </c>
      <c r="V432" s="0" t="s">
        <v>46</v>
      </c>
      <c r="W432" s="0" t="s">
        <v>46</v>
      </c>
      <c r="X432" s="0" t="s">
        <v>47</v>
      </c>
      <c r="Y432" s="0" t="s">
        <v>48</v>
      </c>
      <c r="Z432" s="0" t="s">
        <v>46</v>
      </c>
      <c r="AA432" s="0" t="s">
        <v>46</v>
      </c>
      <c r="AB432" s="0" t="s">
        <v>46</v>
      </c>
      <c r="AC432" s="0" t="s">
        <v>219</v>
      </c>
      <c r="AD432" s="0" t="s">
        <v>147</v>
      </c>
      <c r="AE432" s="0" t="s">
        <v>2425</v>
      </c>
      <c r="AF432" s="0" t="s">
        <v>2426</v>
      </c>
      <c r="AG432" s="0" t="s">
        <v>2427</v>
      </c>
      <c r="AH432" s="0" t="s">
        <v>46</v>
      </c>
      <c r="AI432" s="0" t="s">
        <v>46</v>
      </c>
      <c r="AJ432" s="0" t="s">
        <v>46</v>
      </c>
      <c r="AK432" s="0" t="s">
        <v>46</v>
      </c>
      <c r="AL432" s="0" t="s">
        <v>46</v>
      </c>
    </row>
    <row r="433" customFormat="false" ht="15" hidden="false" customHeight="false" outlineLevel="0" collapsed="false">
      <c r="B433" s="0" t="str">
        <f aca="false">HYPERLINK("https://genome.ucsc.edu/cgi-bin/hgTracks?db=hg19&amp;position=chrX%3A65247501%2D65247501", "chrX:65247501")</f>
        <v>chrX:65247501</v>
      </c>
      <c r="C433" s="0" t="s">
        <v>2395</v>
      </c>
      <c r="D433" s="0" t="n">
        <v>65247501</v>
      </c>
      <c r="E433" s="0" t="n">
        <v>65247501</v>
      </c>
      <c r="F433" s="0" t="s">
        <v>82</v>
      </c>
      <c r="G433" s="0" t="s">
        <v>40</v>
      </c>
      <c r="H433" s="0" t="s">
        <v>2428</v>
      </c>
      <c r="I433" s="0" t="s">
        <v>621</v>
      </c>
      <c r="J433" s="0" t="s">
        <v>2429</v>
      </c>
      <c r="K433" s="0" t="s">
        <v>46</v>
      </c>
      <c r="L433" s="0" t="str">
        <f aca="false">HYPERLINK("https://www.ncbi.nlm.nih.gov/snp/rs535025684", "rs535025684")</f>
        <v>rs535025684</v>
      </c>
      <c r="M433" s="0" t="str">
        <f aca="false">HYPERLINK("https://www.genecards.org/Search/Keyword?queryString=%5Baliases%5D(%20VSIG4%20)&amp;keywords=VSIG4", "VSIG4")</f>
        <v>VSIG4</v>
      </c>
      <c r="N433" s="0" t="s">
        <v>45</v>
      </c>
      <c r="O433" s="0" t="s">
        <v>46</v>
      </c>
      <c r="P433" s="0" t="s">
        <v>46</v>
      </c>
      <c r="Q433" s="0" t="n">
        <v>7.68E-005</v>
      </c>
      <c r="R433" s="0" t="n">
        <v>-1</v>
      </c>
      <c r="S433" s="0" t="n">
        <v>-1</v>
      </c>
      <c r="T433" s="0" t="n">
        <v>-1</v>
      </c>
      <c r="U433" s="0" t="n">
        <v>-1</v>
      </c>
      <c r="V433" s="0" t="s">
        <v>46</v>
      </c>
      <c r="W433" s="0" t="s">
        <v>46</v>
      </c>
      <c r="X433" s="0" t="s">
        <v>47</v>
      </c>
      <c r="Y433" s="0" t="s">
        <v>48</v>
      </c>
      <c r="Z433" s="0" t="s">
        <v>46</v>
      </c>
      <c r="AA433" s="0" t="s">
        <v>46</v>
      </c>
      <c r="AB433" s="0" t="s">
        <v>46</v>
      </c>
      <c r="AC433" s="0" t="s">
        <v>219</v>
      </c>
      <c r="AD433" s="0" t="s">
        <v>147</v>
      </c>
      <c r="AE433" s="0" t="s">
        <v>2425</v>
      </c>
      <c r="AF433" s="0" t="s">
        <v>2426</v>
      </c>
      <c r="AG433" s="0" t="s">
        <v>2427</v>
      </c>
      <c r="AH433" s="0" t="s">
        <v>46</v>
      </c>
      <c r="AI433" s="0" t="s">
        <v>46</v>
      </c>
      <c r="AJ433" s="0" t="s">
        <v>46</v>
      </c>
      <c r="AK433" s="0" t="s">
        <v>46</v>
      </c>
      <c r="AL433" s="0" t="s">
        <v>46</v>
      </c>
    </row>
    <row r="434" customFormat="false" ht="15" hidden="false" customHeight="false" outlineLevel="0" collapsed="false">
      <c r="B434" s="0" t="str">
        <f aca="false">HYPERLINK("https://genome.ucsc.edu/cgi-bin/hgTracks?db=hg19&amp;position=chrX%3A70767958%2D70767958", "chrX:70767958")</f>
        <v>chrX:70767958</v>
      </c>
      <c r="C434" s="0" t="s">
        <v>2395</v>
      </c>
      <c r="D434" s="0" t="n">
        <v>70767958</v>
      </c>
      <c r="E434" s="0" t="n">
        <v>70767958</v>
      </c>
      <c r="F434" s="0" t="s">
        <v>57</v>
      </c>
      <c r="G434" s="0" t="s">
        <v>39</v>
      </c>
      <c r="H434" s="0" t="s">
        <v>2430</v>
      </c>
      <c r="I434" s="0" t="s">
        <v>656</v>
      </c>
      <c r="J434" s="0" t="s">
        <v>2431</v>
      </c>
      <c r="K434" s="0" t="s">
        <v>46</v>
      </c>
      <c r="L434" s="0" t="str">
        <f aca="false">HYPERLINK("https://www.ncbi.nlm.nih.gov/snp/rs796543853", "rs796543853")</f>
        <v>rs796543853</v>
      </c>
      <c r="M434" s="0" t="str">
        <f aca="false">HYPERLINK("https://www.genecards.org/Search/Keyword?queryString=%5Baliases%5D(%20BCYRN1%20)%20OR%20%5Baliases%5D(%20OGT%20)&amp;keywords=BCYRN1,OGT", "BCYRN1;OGT")</f>
        <v>BCYRN1;OGT</v>
      </c>
      <c r="N434" s="0" t="s">
        <v>306</v>
      </c>
      <c r="O434" s="0" t="s">
        <v>46</v>
      </c>
      <c r="P434" s="0" t="s">
        <v>46</v>
      </c>
      <c r="Q434" s="0" t="n">
        <v>-1</v>
      </c>
      <c r="R434" s="0" t="n">
        <v>-1</v>
      </c>
      <c r="S434" s="0" t="n">
        <v>-1</v>
      </c>
      <c r="T434" s="0" t="n">
        <v>-1</v>
      </c>
      <c r="U434" s="0" t="n">
        <v>-1</v>
      </c>
      <c r="V434" s="0" t="s">
        <v>46</v>
      </c>
      <c r="W434" s="0" t="s">
        <v>46</v>
      </c>
      <c r="X434" s="0" t="s">
        <v>307</v>
      </c>
      <c r="Y434" s="0" t="s">
        <v>48</v>
      </c>
      <c r="Z434" s="0" t="s">
        <v>46</v>
      </c>
      <c r="AA434" s="0" t="s">
        <v>46</v>
      </c>
      <c r="AB434" s="0" t="s">
        <v>46</v>
      </c>
      <c r="AC434" s="0" t="s">
        <v>219</v>
      </c>
      <c r="AD434" s="0" t="s">
        <v>191</v>
      </c>
      <c r="AE434" s="0" t="s">
        <v>2432</v>
      </c>
      <c r="AF434" s="0" t="s">
        <v>2433</v>
      </c>
      <c r="AG434" s="0" t="s">
        <v>2434</v>
      </c>
      <c r="AH434" s="0" t="s">
        <v>2435</v>
      </c>
      <c r="AI434" s="0" t="s">
        <v>46</v>
      </c>
      <c r="AJ434" s="0" t="s">
        <v>46</v>
      </c>
      <c r="AK434" s="0" t="s">
        <v>46</v>
      </c>
      <c r="AL434" s="0" t="s">
        <v>46</v>
      </c>
    </row>
    <row r="435" customFormat="false" ht="15" hidden="false" customHeight="false" outlineLevel="0" collapsed="false">
      <c r="B435" s="0" t="str">
        <f aca="false">HYPERLINK("https://genome.ucsc.edu/cgi-bin/hgTracks?db=hg19&amp;position=chrX%3A102841580%2D102841580", "chrX:102841580")</f>
        <v>chrX:102841580</v>
      </c>
      <c r="C435" s="0" t="s">
        <v>2395</v>
      </c>
      <c r="D435" s="0" t="n">
        <v>102841580</v>
      </c>
      <c r="E435" s="0" t="n">
        <v>102841580</v>
      </c>
      <c r="F435" s="0" t="s">
        <v>57</v>
      </c>
      <c r="G435" s="0" t="s">
        <v>39</v>
      </c>
      <c r="H435" s="0" t="s">
        <v>2436</v>
      </c>
      <c r="I435" s="0" t="s">
        <v>313</v>
      </c>
      <c r="J435" s="0" t="s">
        <v>2437</v>
      </c>
      <c r="K435" s="0" t="s">
        <v>46</v>
      </c>
      <c r="L435" s="0" t="str">
        <f aca="false">HYPERLINK("https://www.ncbi.nlm.nih.gov/snp/rs62621172", "rs62621172")</f>
        <v>rs62621172</v>
      </c>
      <c r="M435" s="0" t="str">
        <f aca="false">HYPERLINK("https://www.genecards.org/Search/Keyword?queryString=%5Baliases%5D(%20TCEAL4%20)&amp;keywords=TCEAL4", "TCEAL4")</f>
        <v>TCEAL4</v>
      </c>
      <c r="N435" s="0" t="s">
        <v>461</v>
      </c>
      <c r="O435" s="0" t="s">
        <v>63</v>
      </c>
      <c r="P435" s="0" t="s">
        <v>2438</v>
      </c>
      <c r="Q435" s="0" t="n">
        <v>0.0275</v>
      </c>
      <c r="R435" s="0" t="n">
        <v>0.0116</v>
      </c>
      <c r="S435" s="0" t="n">
        <v>0.0121</v>
      </c>
      <c r="T435" s="0" t="n">
        <v>-1</v>
      </c>
      <c r="U435" s="0" t="n">
        <v>0.0167</v>
      </c>
      <c r="V435" s="0" t="s">
        <v>2439</v>
      </c>
      <c r="W435" s="0" t="s">
        <v>82</v>
      </c>
      <c r="X435" s="0" t="s">
        <v>46</v>
      </c>
      <c r="Y435" s="0" t="s">
        <v>46</v>
      </c>
      <c r="Z435" s="0" t="s">
        <v>2440</v>
      </c>
      <c r="AA435" s="0" t="s">
        <v>46</v>
      </c>
      <c r="AB435" s="0" t="s">
        <v>46</v>
      </c>
      <c r="AC435" s="0" t="s">
        <v>219</v>
      </c>
      <c r="AD435" s="0" t="s">
        <v>51</v>
      </c>
      <c r="AE435" s="0" t="s">
        <v>2441</v>
      </c>
      <c r="AF435" s="0" t="s">
        <v>2442</v>
      </c>
      <c r="AG435" s="0" t="s">
        <v>428</v>
      </c>
      <c r="AH435" s="0" t="s">
        <v>46</v>
      </c>
      <c r="AI435" s="0" t="s">
        <v>46</v>
      </c>
      <c r="AJ435" s="0" t="s">
        <v>46</v>
      </c>
      <c r="AK435" s="0" t="s">
        <v>46</v>
      </c>
      <c r="AL435" s="0" t="s">
        <v>46</v>
      </c>
    </row>
    <row r="436" customFormat="false" ht="15" hidden="false" customHeight="false" outlineLevel="0" collapsed="false">
      <c r="B436" s="0" t="str">
        <f aca="false">HYPERLINK("https://genome.ucsc.edu/cgi-bin/hgTracks?db=hg19&amp;position=chrX%3A153010190%2D153010190", "chrX:153010190")</f>
        <v>chrX:153010190</v>
      </c>
      <c r="C436" s="0" t="s">
        <v>2395</v>
      </c>
      <c r="D436" s="0" t="n">
        <v>153010190</v>
      </c>
      <c r="E436" s="0" t="n">
        <v>153010190</v>
      </c>
      <c r="F436" s="0" t="s">
        <v>40</v>
      </c>
      <c r="G436" s="0" t="s">
        <v>82</v>
      </c>
      <c r="H436" s="0" t="s">
        <v>643</v>
      </c>
      <c r="I436" s="0" t="s">
        <v>1966</v>
      </c>
      <c r="J436" s="0" t="s">
        <v>2443</v>
      </c>
      <c r="K436" s="0" t="s">
        <v>46</v>
      </c>
      <c r="L436" s="0" t="str">
        <f aca="false">HYPERLINK("https://www.ncbi.nlm.nih.gov/snp/rs879949945", "rs879949945")</f>
        <v>rs879949945</v>
      </c>
      <c r="M436" s="0" t="str">
        <f aca="false">HYPERLINK("https://www.genecards.org/Search/Keyword?queryString=%5Baliases%5D(%20ABCD1%20)&amp;keywords=ABCD1", "ABCD1")</f>
        <v>ABCD1</v>
      </c>
      <c r="N436" s="0" t="s">
        <v>208</v>
      </c>
      <c r="O436" s="0" t="s">
        <v>46</v>
      </c>
      <c r="P436" s="0" t="s">
        <v>2444</v>
      </c>
      <c r="Q436" s="0" t="n">
        <v>0.0025</v>
      </c>
      <c r="R436" s="0" t="n">
        <v>-1</v>
      </c>
      <c r="S436" s="0" t="n">
        <v>-1</v>
      </c>
      <c r="T436" s="0" t="n">
        <v>-1</v>
      </c>
      <c r="U436" s="0" t="n">
        <v>-1</v>
      </c>
      <c r="V436" s="0" t="s">
        <v>46</v>
      </c>
      <c r="W436" s="0" t="s">
        <v>46</v>
      </c>
      <c r="X436" s="0" t="s">
        <v>46</v>
      </c>
      <c r="Y436" s="0" t="s">
        <v>46</v>
      </c>
      <c r="Z436" s="0" t="s">
        <v>46</v>
      </c>
      <c r="AA436" s="0" t="s">
        <v>46</v>
      </c>
      <c r="AB436" s="0" t="s">
        <v>46</v>
      </c>
      <c r="AC436" s="0" t="s">
        <v>50</v>
      </c>
      <c r="AD436" s="0" t="s">
        <v>51</v>
      </c>
      <c r="AE436" s="0" t="s">
        <v>2445</v>
      </c>
      <c r="AF436" s="0" t="s">
        <v>2446</v>
      </c>
      <c r="AG436" s="0" t="s">
        <v>2447</v>
      </c>
      <c r="AH436" s="0" t="s">
        <v>2448</v>
      </c>
      <c r="AI436" s="0" t="s">
        <v>46</v>
      </c>
      <c r="AJ436" s="0" t="s">
        <v>46</v>
      </c>
      <c r="AK436" s="0" t="s">
        <v>46</v>
      </c>
      <c r="AL436" s="0" t="s">
        <v>46</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368"/>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A134" activeCellId="1" sqref="302:303 A134"/>
    </sheetView>
  </sheetViews>
  <sheetFormatPr defaultColWidth="8.6953125" defaultRowHeight="15" zeroHeight="false" outlineLevelRow="0" outlineLevelCol="0"/>
  <cols>
    <col collapsed="false" customWidth="true" hidden="false" outlineLevel="0" max="5" min="5" style="0" width="79.18"/>
  </cols>
  <sheetData>
    <row r="1" s="5" customFormat="true" ht="15" hidden="false" customHeight="false" outlineLevel="0" collapsed="false">
      <c r="A1" s="5" t="s">
        <v>2449</v>
      </c>
      <c r="B1" s="5" t="s">
        <v>220</v>
      </c>
      <c r="C1" s="5" t="s">
        <v>221</v>
      </c>
      <c r="D1" s="5" t="s">
        <v>46</v>
      </c>
      <c r="E1" s="5" t="s">
        <v>222</v>
      </c>
      <c r="F1" s="5" t="s">
        <v>2450</v>
      </c>
      <c r="G1" s="5" t="s">
        <v>2451</v>
      </c>
      <c r="H1" s="5" t="s">
        <v>2452</v>
      </c>
      <c r="I1" s="5" t="str">
        <f aca="false">HYPERLINK("https://omim.org/entry/613195", "613195")</f>
        <v>613195</v>
      </c>
      <c r="J1" s="5" t="s">
        <v>46</v>
      </c>
      <c r="K1" s="5" t="s">
        <v>46</v>
      </c>
      <c r="L1" s="5" t="s">
        <v>46</v>
      </c>
      <c r="M1" s="5" t="s">
        <v>46</v>
      </c>
      <c r="N1" s="5" t="s">
        <v>46</v>
      </c>
      <c r="O1" s="5" t="s">
        <v>46</v>
      </c>
    </row>
    <row r="2" s="5" customFormat="true" ht="15" hidden="false" customHeight="false" outlineLevel="0" collapsed="false">
      <c r="A2" s="5" t="s">
        <v>2453</v>
      </c>
      <c r="B2" s="5" t="s">
        <v>493</v>
      </c>
      <c r="C2" s="5" t="s">
        <v>494</v>
      </c>
      <c r="D2" s="5" t="s">
        <v>495</v>
      </c>
      <c r="E2" s="5" t="s">
        <v>496</v>
      </c>
      <c r="F2" s="5" t="s">
        <v>2454</v>
      </c>
      <c r="G2" s="5" t="s">
        <v>2455</v>
      </c>
      <c r="H2" s="5" t="s">
        <v>2456</v>
      </c>
      <c r="I2" s="5" t="str">
        <f aca="false">HYPERLINK("https://omim.org/entry/615546", "615546")</f>
        <v>615546</v>
      </c>
      <c r="J2" s="5" t="str">
        <f aca="false">HYPERLINK("https://omim.org/entry/616006", "616006")</f>
        <v>616006</v>
      </c>
      <c r="K2" s="5" t="s">
        <v>46</v>
      </c>
      <c r="L2" s="5" t="s">
        <v>46</v>
      </c>
      <c r="M2" s="5" t="s">
        <v>46</v>
      </c>
      <c r="N2" s="5" t="s">
        <v>46</v>
      </c>
      <c r="O2" s="5" t="s">
        <v>46</v>
      </c>
    </row>
    <row r="3" s="5" customFormat="true" ht="15" hidden="false" customHeight="false" outlineLevel="0" collapsed="false">
      <c r="A3" s="5" t="s">
        <v>2457</v>
      </c>
      <c r="B3" s="5" t="s">
        <v>46</v>
      </c>
      <c r="C3" s="5" t="s">
        <v>2027</v>
      </c>
      <c r="D3" s="5" t="s">
        <v>2028</v>
      </c>
      <c r="E3" s="5" t="s">
        <v>2029</v>
      </c>
      <c r="F3" s="5" t="s">
        <v>2458</v>
      </c>
      <c r="G3" s="5" t="s">
        <v>46</v>
      </c>
      <c r="H3" s="5" t="s">
        <v>46</v>
      </c>
      <c r="I3" s="5" t="str">
        <f aca="false">HYPERLINK("https://omim.org/entry/605472", "605472")</f>
        <v>605472</v>
      </c>
      <c r="J3" s="5" t="str">
        <f aca="false">HYPERLINK("https://omim.org/entry/604352", "604352")</f>
        <v>604352</v>
      </c>
      <c r="K3" s="5" t="s">
        <v>46</v>
      </c>
      <c r="L3" s="5" t="s">
        <v>46</v>
      </c>
      <c r="M3" s="5" t="s">
        <v>46</v>
      </c>
      <c r="N3" s="5" t="s">
        <v>46</v>
      </c>
      <c r="O3" s="5" t="s">
        <v>46</v>
      </c>
    </row>
    <row r="4" s="5" customFormat="true" ht="15" hidden="false" customHeight="false" outlineLevel="0" collapsed="false">
      <c r="A4" s="5" t="s">
        <v>2459</v>
      </c>
      <c r="B4" s="5" t="s">
        <v>355</v>
      </c>
      <c r="C4" s="5" t="s">
        <v>356</v>
      </c>
      <c r="D4" s="5" t="s">
        <v>357</v>
      </c>
      <c r="E4" s="5" t="s">
        <v>358</v>
      </c>
      <c r="F4" s="5" t="s">
        <v>2460</v>
      </c>
      <c r="G4" s="5" t="s">
        <v>2461</v>
      </c>
      <c r="H4" s="5" t="s">
        <v>2462</v>
      </c>
      <c r="I4" s="5" t="str">
        <f aca="false">HYPERLINK("https://omim.org/entry/276901", "276901")</f>
        <v>276901</v>
      </c>
      <c r="J4" s="5" t="str">
        <f aca="false">HYPERLINK("https://omim.org/entry/613809", "613809")</f>
        <v>613809</v>
      </c>
      <c r="K4" s="5" t="s">
        <v>46</v>
      </c>
      <c r="L4" s="5" t="s">
        <v>46</v>
      </c>
      <c r="M4" s="5" t="s">
        <v>46</v>
      </c>
      <c r="N4" s="5" t="s">
        <v>46</v>
      </c>
      <c r="O4" s="5" t="s">
        <v>46</v>
      </c>
    </row>
    <row r="5" s="5" customFormat="true" ht="15" hidden="false" customHeight="false" outlineLevel="0" collapsed="false">
      <c r="A5" s="5" t="s">
        <v>2463</v>
      </c>
      <c r="B5" s="5" t="s">
        <v>265</v>
      </c>
      <c r="C5" s="5" t="s">
        <v>266</v>
      </c>
      <c r="D5" s="5" t="s">
        <v>267</v>
      </c>
      <c r="E5" s="5" t="s">
        <v>268</v>
      </c>
      <c r="F5" s="5" t="s">
        <v>2464</v>
      </c>
      <c r="G5" s="5" t="s">
        <v>46</v>
      </c>
      <c r="H5" s="5" t="s">
        <v>46</v>
      </c>
      <c r="I5" s="5" t="str">
        <f aca="false">HYPERLINK("https://omim.org/entry/607200", "607200")</f>
        <v>607200</v>
      </c>
      <c r="J5" s="5" t="s">
        <v>46</v>
      </c>
      <c r="K5" s="5" t="s">
        <v>46</v>
      </c>
      <c r="L5" s="5" t="s">
        <v>46</v>
      </c>
      <c r="M5" s="5" t="s">
        <v>46</v>
      </c>
      <c r="N5" s="5" t="s">
        <v>46</v>
      </c>
      <c r="O5" s="5" t="s">
        <v>46</v>
      </c>
    </row>
    <row r="6" s="3" customFormat="true" ht="15" hidden="false" customHeight="false" outlineLevel="0" collapsed="false">
      <c r="A6" s="3" t="s">
        <v>2465</v>
      </c>
      <c r="B6" s="3" t="s">
        <v>454</v>
      </c>
      <c r="C6" s="3" t="s">
        <v>455</v>
      </c>
      <c r="D6" s="3" t="s">
        <v>456</v>
      </c>
      <c r="E6" s="3" t="s">
        <v>457</v>
      </c>
      <c r="F6" s="3" t="s">
        <v>46</v>
      </c>
      <c r="G6" s="3" t="s">
        <v>2466</v>
      </c>
      <c r="H6" s="3" t="s">
        <v>2467</v>
      </c>
      <c r="I6" s="3" t="str">
        <f aca="false">HYPERLINK("https://omim.org/entry/612253", "612253")</f>
        <v>612253</v>
      </c>
      <c r="J6" s="3" t="str">
        <f aca="false">HYPERLINK("https://omim.org/entry/180300", "180300")</f>
        <v>180300</v>
      </c>
      <c r="K6" s="3" t="s">
        <v>46</v>
      </c>
      <c r="L6" s="3" t="s">
        <v>46</v>
      </c>
      <c r="M6" s="3" t="s">
        <v>46</v>
      </c>
      <c r="N6" s="3" t="s">
        <v>46</v>
      </c>
      <c r="O6" s="3" t="s">
        <v>46</v>
      </c>
    </row>
    <row r="7" s="3" customFormat="true" ht="15" hidden="false" customHeight="false" outlineLevel="0" collapsed="false">
      <c r="A7" s="3" t="s">
        <v>2468</v>
      </c>
      <c r="B7" s="3" t="s">
        <v>169</v>
      </c>
      <c r="C7" s="3" t="s">
        <v>170</v>
      </c>
      <c r="D7" s="3" t="s">
        <v>171</v>
      </c>
      <c r="E7" s="3" t="s">
        <v>172</v>
      </c>
      <c r="F7" s="3" t="s">
        <v>2469</v>
      </c>
      <c r="G7" s="3" t="s">
        <v>2470</v>
      </c>
      <c r="H7" s="3" t="s">
        <v>2471</v>
      </c>
      <c r="I7" s="3" t="str">
        <f aca="false">HYPERLINK("https://omim.org/entry/152700", "152700")</f>
        <v>152700</v>
      </c>
      <c r="J7" s="3" t="str">
        <f aca="false">HYPERLINK("https://omim.org/entry/222100", "222100")</f>
        <v>222100</v>
      </c>
      <c r="K7" s="3" t="str">
        <f aca="false">HYPERLINK("https://omim.org/entry/180300", "180300")</f>
        <v>180300</v>
      </c>
      <c r="L7" s="3" t="str">
        <f aca="false">HYPERLINK("https://omim.org/entry/193200", "193200")</f>
        <v>193200</v>
      </c>
      <c r="M7" s="3" t="s">
        <v>46</v>
      </c>
      <c r="N7" s="3" t="s">
        <v>46</v>
      </c>
      <c r="O7" s="3" t="s">
        <v>46</v>
      </c>
    </row>
    <row r="8" s="5" customFormat="true" ht="15" hidden="false" customHeight="false" outlineLevel="0" collapsed="false">
      <c r="A8" s="5" t="s">
        <v>2472</v>
      </c>
      <c r="B8" s="5" t="s">
        <v>1979</v>
      </c>
      <c r="C8" s="5" t="s">
        <v>1980</v>
      </c>
      <c r="D8" s="5" t="s">
        <v>1981</v>
      </c>
      <c r="E8" s="5" t="s">
        <v>1982</v>
      </c>
      <c r="F8" s="5" t="s">
        <v>46</v>
      </c>
      <c r="G8" s="5" t="s">
        <v>2473</v>
      </c>
      <c r="H8" s="5" t="s">
        <v>2474</v>
      </c>
      <c r="I8" s="5" t="str">
        <f aca="false">HYPERLINK("https://omim.org/entry/616204", "616204")</f>
        <v>616204</v>
      </c>
      <c r="J8" s="5" t="s">
        <v>46</v>
      </c>
      <c r="K8" s="5" t="s">
        <v>46</v>
      </c>
      <c r="L8" s="5" t="s">
        <v>46</v>
      </c>
      <c r="M8" s="5" t="s">
        <v>46</v>
      </c>
      <c r="N8" s="5" t="s">
        <v>46</v>
      </c>
      <c r="O8" s="5" t="s">
        <v>46</v>
      </c>
    </row>
    <row r="9" s="5" customFormat="true" ht="15" hidden="false" customHeight="false" outlineLevel="0" collapsed="false">
      <c r="A9" s="5" t="s">
        <v>2475</v>
      </c>
      <c r="B9" s="5" t="s">
        <v>971</v>
      </c>
      <c r="C9" s="5" t="s">
        <v>972</v>
      </c>
      <c r="D9" s="5" t="s">
        <v>973</v>
      </c>
      <c r="E9" s="5" t="s">
        <v>974</v>
      </c>
      <c r="F9" s="5" t="s">
        <v>2476</v>
      </c>
      <c r="G9" s="5" t="s">
        <v>46</v>
      </c>
      <c r="H9" s="5" t="s">
        <v>46</v>
      </c>
      <c r="I9" s="5" t="str">
        <f aca="false">HYPERLINK("https://omim.org/entry/183090", "183090")</f>
        <v>183090</v>
      </c>
      <c r="J9" s="5" t="str">
        <f aca="false">HYPERLINK("https://omim.org/entry/183090", "183090")</f>
        <v>183090</v>
      </c>
      <c r="K9" s="5" t="s">
        <v>46</v>
      </c>
      <c r="L9" s="5" t="s">
        <v>46</v>
      </c>
      <c r="M9" s="5" t="s">
        <v>46</v>
      </c>
      <c r="N9" s="5" t="s">
        <v>46</v>
      </c>
      <c r="O9" s="5" t="s">
        <v>46</v>
      </c>
    </row>
    <row r="10" s="5" customFormat="true" ht="15" hidden="false" customHeight="false" outlineLevel="0" collapsed="false">
      <c r="A10" s="5" t="s">
        <v>2477</v>
      </c>
      <c r="B10" s="5" t="s">
        <v>1267</v>
      </c>
      <c r="C10" s="5" t="s">
        <v>1268</v>
      </c>
      <c r="D10" s="5" t="s">
        <v>1269</v>
      </c>
      <c r="E10" s="5" t="s">
        <v>1270</v>
      </c>
      <c r="F10" s="5" t="s">
        <v>46</v>
      </c>
      <c r="G10" s="5" t="s">
        <v>2478</v>
      </c>
      <c r="H10" s="5" t="s">
        <v>2479</v>
      </c>
      <c r="I10" s="5" t="str">
        <f aca="false">HYPERLINK("https://omim.org/entry/615842", "615842")</f>
        <v>615842</v>
      </c>
      <c r="J10" s="5" t="s">
        <v>46</v>
      </c>
      <c r="K10" s="5" t="s">
        <v>46</v>
      </c>
      <c r="L10" s="5" t="s">
        <v>46</v>
      </c>
      <c r="M10" s="5" t="s">
        <v>46</v>
      </c>
      <c r="N10" s="5" t="s">
        <v>46</v>
      </c>
      <c r="O10" s="5" t="s">
        <v>46</v>
      </c>
    </row>
    <row r="11" s="5" customFormat="true" ht="15" hidden="false" customHeight="false" outlineLevel="0" collapsed="false">
      <c r="A11" s="5" t="s">
        <v>2480</v>
      </c>
      <c r="B11" s="5" t="s">
        <v>1032</v>
      </c>
      <c r="C11" s="5" t="s">
        <v>1033</v>
      </c>
      <c r="D11" s="5" t="s">
        <v>1034</v>
      </c>
      <c r="E11" s="5" t="s">
        <v>1035</v>
      </c>
      <c r="F11" s="5" t="s">
        <v>2481</v>
      </c>
      <c r="G11" s="5" t="s">
        <v>2482</v>
      </c>
      <c r="H11" s="5" t="s">
        <v>2483</v>
      </c>
      <c r="I11" s="5" t="str">
        <f aca="false">HYPERLINK("https://omim.org/entry/270700", "270700")</f>
        <v>270700</v>
      </c>
      <c r="J11" s="5" t="s">
        <v>46</v>
      </c>
      <c r="K11" s="5" t="s">
        <v>46</v>
      </c>
      <c r="L11" s="5" t="s">
        <v>46</v>
      </c>
      <c r="M11" s="5" t="s">
        <v>46</v>
      </c>
      <c r="N11" s="5" t="s">
        <v>46</v>
      </c>
      <c r="O11" s="5" t="s">
        <v>46</v>
      </c>
    </row>
    <row r="12" s="5" customFormat="true" ht="15" hidden="false" customHeight="false" outlineLevel="0" collapsed="false">
      <c r="A12" s="5" t="s">
        <v>2484</v>
      </c>
      <c r="B12" s="5" t="s">
        <v>1874</v>
      </c>
      <c r="C12" s="5" t="s">
        <v>1875</v>
      </c>
      <c r="D12" s="5" t="s">
        <v>1876</v>
      </c>
      <c r="E12" s="5" t="s">
        <v>1877</v>
      </c>
      <c r="F12" s="5" t="s">
        <v>2485</v>
      </c>
      <c r="G12" s="5" t="s">
        <v>2486</v>
      </c>
      <c r="H12" s="5" t="s">
        <v>2487</v>
      </c>
      <c r="I12" s="5" t="str">
        <f aca="false">HYPERLINK("https://omim.org/entry/210600", "210600")</f>
        <v>210600</v>
      </c>
      <c r="J12" s="5" t="str">
        <f aca="false">HYPERLINK("https://omim.org/entry/614564", "614564")</f>
        <v>614564</v>
      </c>
      <c r="K12" s="5" t="s">
        <v>46</v>
      </c>
      <c r="L12" s="5" t="s">
        <v>46</v>
      </c>
      <c r="M12" s="5" t="s">
        <v>46</v>
      </c>
      <c r="N12" s="5" t="s">
        <v>46</v>
      </c>
      <c r="O12" s="5" t="s">
        <v>46</v>
      </c>
    </row>
    <row r="13" s="5" customFormat="true" ht="15" hidden="false" customHeight="false" outlineLevel="0" collapsed="false">
      <c r="A13" s="5" t="s">
        <v>2488</v>
      </c>
      <c r="B13" s="5" t="s">
        <v>990</v>
      </c>
      <c r="C13" s="5" t="s">
        <v>991</v>
      </c>
      <c r="D13" s="5" t="s">
        <v>992</v>
      </c>
      <c r="E13" s="5" t="s">
        <v>993</v>
      </c>
      <c r="F13" s="5" t="s">
        <v>2489</v>
      </c>
      <c r="G13" s="5" t="s">
        <v>46</v>
      </c>
      <c r="H13" s="5" t="s">
        <v>46</v>
      </c>
      <c r="I13" s="5" t="str">
        <f aca="false">HYPERLINK("https://omim.org/entry/268220", "268220")</f>
        <v>268220</v>
      </c>
      <c r="J13" s="5" t="s">
        <v>46</v>
      </c>
      <c r="K13" s="5" t="s">
        <v>46</v>
      </c>
      <c r="L13" s="5" t="s">
        <v>46</v>
      </c>
      <c r="M13" s="5" t="s">
        <v>46</v>
      </c>
      <c r="N13" s="5" t="s">
        <v>46</v>
      </c>
      <c r="O13" s="5" t="s">
        <v>46</v>
      </c>
    </row>
    <row r="14" s="5" customFormat="true" ht="15" hidden="false" customHeight="false" outlineLevel="0" collapsed="false">
      <c r="A14" s="5" t="s">
        <v>2490</v>
      </c>
      <c r="B14" s="5" t="s">
        <v>46</v>
      </c>
      <c r="C14" s="5" t="s">
        <v>1658</v>
      </c>
      <c r="D14" s="5" t="s">
        <v>1659</v>
      </c>
      <c r="E14" s="5" t="s">
        <v>1660</v>
      </c>
      <c r="F14" s="5" t="s">
        <v>46</v>
      </c>
      <c r="G14" s="5" t="s">
        <v>46</v>
      </c>
      <c r="H14" s="5" t="s">
        <v>46</v>
      </c>
      <c r="I14" s="5" t="str">
        <f aca="false">HYPERLINK("https://omim.org/entry/615780", "615780")</f>
        <v>615780</v>
      </c>
      <c r="J14" s="5" t="s">
        <v>46</v>
      </c>
      <c r="K14" s="5" t="s">
        <v>46</v>
      </c>
      <c r="L14" s="5" t="s">
        <v>46</v>
      </c>
      <c r="M14" s="5" t="s">
        <v>46</v>
      </c>
      <c r="N14" s="5" t="s">
        <v>46</v>
      </c>
      <c r="O14" s="5" t="s">
        <v>46</v>
      </c>
    </row>
    <row r="15" s="5" customFormat="true" ht="15" hidden="false" customHeight="false" outlineLevel="0" collapsed="false">
      <c r="A15" s="5" t="s">
        <v>2491</v>
      </c>
      <c r="B15" s="5" t="s">
        <v>1902</v>
      </c>
      <c r="C15" s="5" t="s">
        <v>1903</v>
      </c>
      <c r="D15" s="5" t="s">
        <v>1904</v>
      </c>
      <c r="E15" s="5" t="s">
        <v>1905</v>
      </c>
      <c r="F15" s="5" t="s">
        <v>46</v>
      </c>
      <c r="G15" s="5" t="s">
        <v>2492</v>
      </c>
      <c r="H15" s="5" t="s">
        <v>2493</v>
      </c>
      <c r="I15" s="5" t="str">
        <f aca="false">HYPERLINK("https://omim.org/entry/613801", "613801")</f>
        <v>613801</v>
      </c>
      <c r="J15" s="5" t="str">
        <f aca="false">HYPERLINK("https://omim.org/entry/163500", "163500")</f>
        <v>163500</v>
      </c>
      <c r="K15" s="5" t="s">
        <v>46</v>
      </c>
      <c r="L15" s="5" t="s">
        <v>46</v>
      </c>
      <c r="M15" s="5" t="s">
        <v>46</v>
      </c>
      <c r="N15" s="5" t="s">
        <v>46</v>
      </c>
      <c r="O15" s="5" t="s">
        <v>46</v>
      </c>
    </row>
    <row r="16" s="5" customFormat="true" ht="15" hidden="false" customHeight="false" outlineLevel="0" collapsed="false">
      <c r="A16" s="5" t="s">
        <v>2494</v>
      </c>
      <c r="B16" s="5" t="s">
        <v>577</v>
      </c>
      <c r="C16" s="5" t="s">
        <v>578</v>
      </c>
      <c r="D16" s="5" t="s">
        <v>579</v>
      </c>
      <c r="E16" s="5" t="s">
        <v>580</v>
      </c>
      <c r="F16" s="5" t="s">
        <v>2495</v>
      </c>
      <c r="G16" s="5" t="s">
        <v>2496</v>
      </c>
      <c r="H16" s="5" t="s">
        <v>2497</v>
      </c>
      <c r="I16" s="5" t="str">
        <f aca="false">HYPERLINK("https://omim.org/entry/267500", "267500")</f>
        <v>267500</v>
      </c>
      <c r="J16" s="5" t="s">
        <v>46</v>
      </c>
      <c r="K16" s="5" t="s">
        <v>46</v>
      </c>
      <c r="L16" s="5" t="s">
        <v>46</v>
      </c>
      <c r="M16" s="5" t="s">
        <v>46</v>
      </c>
      <c r="N16" s="5" t="s">
        <v>46</v>
      </c>
      <c r="O16" s="5" t="s">
        <v>46</v>
      </c>
    </row>
    <row r="17" s="5" customFormat="true" ht="15" hidden="false" customHeight="false" outlineLevel="0" collapsed="false">
      <c r="A17" s="5" t="s">
        <v>2498</v>
      </c>
      <c r="B17" s="5" t="s">
        <v>370</v>
      </c>
      <c r="C17" s="5" t="s">
        <v>371</v>
      </c>
      <c r="D17" s="5" t="s">
        <v>372</v>
      </c>
      <c r="E17" s="5" t="s">
        <v>373</v>
      </c>
      <c r="F17" s="5" t="s">
        <v>2499</v>
      </c>
      <c r="G17" s="5" t="s">
        <v>2500</v>
      </c>
      <c r="H17" s="5" t="s">
        <v>2501</v>
      </c>
      <c r="I17" s="5" t="str">
        <f aca="false">HYPERLINK("https://omim.org/entry/259775", "259775")</f>
        <v>259775</v>
      </c>
      <c r="J17" s="5" t="s">
        <v>46</v>
      </c>
      <c r="K17" s="5" t="s">
        <v>46</v>
      </c>
      <c r="L17" s="5" t="s">
        <v>46</v>
      </c>
      <c r="M17" s="5" t="s">
        <v>46</v>
      </c>
      <c r="N17" s="5" t="s">
        <v>46</v>
      </c>
      <c r="O17" s="5" t="s">
        <v>46</v>
      </c>
    </row>
    <row r="18" s="5" customFormat="true" ht="15" hidden="false" customHeight="false" outlineLevel="0" collapsed="false">
      <c r="A18" s="5" t="s">
        <v>2502</v>
      </c>
      <c r="B18" s="5" t="s">
        <v>2503</v>
      </c>
      <c r="C18" s="5" t="s">
        <v>2504</v>
      </c>
      <c r="D18" s="5" t="s">
        <v>765</v>
      </c>
      <c r="E18" s="5" t="s">
        <v>766</v>
      </c>
      <c r="F18" s="5" t="s">
        <v>2505</v>
      </c>
      <c r="G18" s="5" t="s">
        <v>46</v>
      </c>
      <c r="H18" s="5" t="s">
        <v>46</v>
      </c>
      <c r="I18" s="5" t="str">
        <f aca="false">HYPERLINK("https://omim.org/entry/601709", "601709")</f>
        <v>601709</v>
      </c>
      <c r="J18" s="5" t="s">
        <v>46</v>
      </c>
      <c r="K18" s="5" t="s">
        <v>46</v>
      </c>
      <c r="L18" s="5" t="s">
        <v>46</v>
      </c>
      <c r="M18" s="5" t="s">
        <v>46</v>
      </c>
      <c r="N18" s="5" t="s">
        <v>46</v>
      </c>
      <c r="O18" s="5" t="s">
        <v>46</v>
      </c>
    </row>
    <row r="19" s="5" customFormat="true" ht="15" hidden="false" customHeight="false" outlineLevel="0" collapsed="false">
      <c r="A19" s="5" t="s">
        <v>2506</v>
      </c>
      <c r="B19" s="5" t="s">
        <v>2032</v>
      </c>
      <c r="C19" s="5" t="s">
        <v>2033</v>
      </c>
      <c r="D19" s="5" t="s">
        <v>2034</v>
      </c>
      <c r="E19" s="5" t="s">
        <v>2035</v>
      </c>
      <c r="F19" s="5" t="s">
        <v>46</v>
      </c>
      <c r="G19" s="5" t="s">
        <v>2507</v>
      </c>
      <c r="H19" s="5" t="s">
        <v>2508</v>
      </c>
      <c r="I19" s="5" t="str">
        <f aca="false">HYPERLINK("https://omim.org/entry/600955", "600955")</f>
        <v>600955</v>
      </c>
      <c r="J19" s="5" t="s">
        <v>46</v>
      </c>
      <c r="K19" s="5" t="s">
        <v>46</v>
      </c>
      <c r="L19" s="5" t="s">
        <v>46</v>
      </c>
      <c r="M19" s="5" t="s">
        <v>46</v>
      </c>
      <c r="N19" s="5" t="s">
        <v>46</v>
      </c>
      <c r="O19" s="5" t="s">
        <v>46</v>
      </c>
    </row>
    <row r="20" s="5" customFormat="true" ht="15" hidden="false" customHeight="false" outlineLevel="0" collapsed="false">
      <c r="A20" s="5" t="s">
        <v>2509</v>
      </c>
      <c r="B20" s="5" t="s">
        <v>1428</v>
      </c>
      <c r="C20" s="5" t="s">
        <v>1429</v>
      </c>
      <c r="D20" s="5" t="s">
        <v>1430</v>
      </c>
      <c r="E20" s="5" t="s">
        <v>1431</v>
      </c>
      <c r="F20" s="5" t="s">
        <v>46</v>
      </c>
      <c r="G20" s="5" t="s">
        <v>2510</v>
      </c>
      <c r="H20" s="5" t="s">
        <v>2511</v>
      </c>
      <c r="I20" s="5" t="str">
        <f aca="false">HYPERLINK("https://omim.org/entry/170100", "170100")</f>
        <v>170100</v>
      </c>
      <c r="J20" s="5" t="s">
        <v>46</v>
      </c>
      <c r="K20" s="5" t="s">
        <v>46</v>
      </c>
      <c r="L20" s="5" t="s">
        <v>46</v>
      </c>
      <c r="M20" s="5" t="s">
        <v>46</v>
      </c>
      <c r="N20" s="5" t="s">
        <v>46</v>
      </c>
      <c r="O20" s="5" t="s">
        <v>46</v>
      </c>
    </row>
    <row r="21" s="5" customFormat="true" ht="15" hidden="false" customHeight="false" outlineLevel="0" collapsed="false">
      <c r="A21" s="5" t="s">
        <v>2512</v>
      </c>
      <c r="B21" s="5" t="s">
        <v>1646</v>
      </c>
      <c r="C21" s="5" t="s">
        <v>2513</v>
      </c>
      <c r="D21" s="5" t="s">
        <v>1648</v>
      </c>
      <c r="E21" s="5" t="s">
        <v>1649</v>
      </c>
      <c r="F21" s="5" t="s">
        <v>2514</v>
      </c>
      <c r="G21" s="5" t="s">
        <v>2515</v>
      </c>
      <c r="H21" s="5" t="s">
        <v>2516</v>
      </c>
      <c r="I21" s="5" t="str">
        <f aca="false">HYPERLINK("https://omim.org/entry/612885", "612885")</f>
        <v>612885</v>
      </c>
      <c r="J21" s="5" t="s">
        <v>46</v>
      </c>
      <c r="K21" s="5" t="s">
        <v>46</v>
      </c>
      <c r="L21" s="5" t="s">
        <v>46</v>
      </c>
      <c r="M21" s="5" t="s">
        <v>46</v>
      </c>
      <c r="N21" s="5" t="s">
        <v>46</v>
      </c>
      <c r="O21" s="5" t="s">
        <v>46</v>
      </c>
    </row>
    <row r="22" s="5" customFormat="true" ht="15" hidden="false" customHeight="false" outlineLevel="0" collapsed="false">
      <c r="A22" s="5" t="s">
        <v>2517</v>
      </c>
      <c r="B22" s="5" t="s">
        <v>245</v>
      </c>
      <c r="C22" s="5" t="s">
        <v>246</v>
      </c>
      <c r="D22" s="5" t="s">
        <v>247</v>
      </c>
      <c r="E22" s="5" t="s">
        <v>248</v>
      </c>
      <c r="F22" s="5" t="s">
        <v>46</v>
      </c>
      <c r="G22" s="5" t="s">
        <v>2518</v>
      </c>
      <c r="H22" s="5" t="s">
        <v>2519</v>
      </c>
      <c r="I22" s="5" t="str">
        <f aca="false">HYPERLINK("https://omim.org/entry/612390", "612390")</f>
        <v>612390</v>
      </c>
      <c r="J22" s="5" t="s">
        <v>46</v>
      </c>
      <c r="K22" s="5" t="s">
        <v>46</v>
      </c>
      <c r="L22" s="5" t="s">
        <v>46</v>
      </c>
      <c r="M22" s="5" t="s">
        <v>46</v>
      </c>
      <c r="N22" s="5" t="s">
        <v>46</v>
      </c>
      <c r="O22" s="5" t="s">
        <v>46</v>
      </c>
    </row>
    <row r="23" s="5" customFormat="true" ht="15" hidden="false" customHeight="false" outlineLevel="0" collapsed="false">
      <c r="A23" s="5" t="s">
        <v>2520</v>
      </c>
      <c r="B23" s="5" t="s">
        <v>1068</v>
      </c>
      <c r="C23" s="5" t="s">
        <v>1069</v>
      </c>
      <c r="D23" s="5" t="s">
        <v>1070</v>
      </c>
      <c r="E23" s="5" t="s">
        <v>1071</v>
      </c>
      <c r="F23" s="5" t="s">
        <v>2521</v>
      </c>
      <c r="G23" s="5" t="s">
        <v>2522</v>
      </c>
      <c r="H23" s="5" t="s">
        <v>2523</v>
      </c>
      <c r="I23" s="5" t="str">
        <f aca="false">HYPERLINK("https://omim.org/entry/607596", "607596")</f>
        <v>607596</v>
      </c>
      <c r="J23" s="5" t="s">
        <v>46</v>
      </c>
      <c r="K23" s="5" t="s">
        <v>46</v>
      </c>
      <c r="L23" s="5" t="s">
        <v>46</v>
      </c>
      <c r="M23" s="5" t="s">
        <v>46</v>
      </c>
      <c r="N23" s="5" t="s">
        <v>46</v>
      </c>
      <c r="O23" s="5" t="s">
        <v>46</v>
      </c>
    </row>
    <row r="24" s="5" customFormat="true" ht="15" hidden="false" customHeight="false" outlineLevel="0" collapsed="false">
      <c r="A24" s="5" t="s">
        <v>2524</v>
      </c>
      <c r="B24" s="5" t="s">
        <v>1182</v>
      </c>
      <c r="C24" s="5" t="s">
        <v>1183</v>
      </c>
      <c r="D24" s="5" t="s">
        <v>1184</v>
      </c>
      <c r="E24" s="5" t="s">
        <v>1185</v>
      </c>
      <c r="F24" s="5" t="s">
        <v>46</v>
      </c>
      <c r="G24" s="5" t="s">
        <v>2525</v>
      </c>
      <c r="H24" s="5" t="s">
        <v>2526</v>
      </c>
      <c r="I24" s="5" t="str">
        <f aca="false">HYPERLINK("https://omim.org/entry/173900", "173900")</f>
        <v>173900</v>
      </c>
      <c r="J24" s="5" t="s">
        <v>46</v>
      </c>
      <c r="K24" s="5" t="s">
        <v>46</v>
      </c>
      <c r="L24" s="5" t="s">
        <v>46</v>
      </c>
      <c r="M24" s="5" t="s">
        <v>46</v>
      </c>
      <c r="N24" s="5" t="s">
        <v>46</v>
      </c>
      <c r="O24" s="5" t="s">
        <v>46</v>
      </c>
    </row>
    <row r="25" s="5" customFormat="true" ht="15" hidden="false" customHeight="false" outlineLevel="0" collapsed="false">
      <c r="A25" s="5" t="s">
        <v>2527</v>
      </c>
      <c r="B25" s="5" t="s">
        <v>348</v>
      </c>
      <c r="C25" s="5" t="s">
        <v>349</v>
      </c>
      <c r="D25" s="5" t="s">
        <v>46</v>
      </c>
      <c r="E25" s="5" t="s">
        <v>350</v>
      </c>
      <c r="F25" s="5" t="s">
        <v>46</v>
      </c>
      <c r="G25" s="5" t="s">
        <v>46</v>
      </c>
      <c r="H25" s="5" t="s">
        <v>46</v>
      </c>
      <c r="I25" s="5" t="str">
        <f aca="false">HYPERLINK("https://omim.org/entry/601815", "601815")</f>
        <v>601815</v>
      </c>
      <c r="J25" s="5" t="str">
        <f aca="false">HYPERLINK("https://omim.org/entry/256520", "256520")</f>
        <v>256520</v>
      </c>
      <c r="K25" s="5" t="s">
        <v>46</v>
      </c>
      <c r="L25" s="5" t="s">
        <v>46</v>
      </c>
      <c r="M25" s="5" t="s">
        <v>46</v>
      </c>
      <c r="N25" s="5" t="s">
        <v>46</v>
      </c>
      <c r="O25" s="5" t="s">
        <v>46</v>
      </c>
    </row>
    <row r="26" s="5" customFormat="true" ht="15" hidden="false" customHeight="false" outlineLevel="0" collapsed="false">
      <c r="A26" s="5" t="s">
        <v>2528</v>
      </c>
      <c r="B26" s="5" t="s">
        <v>562</v>
      </c>
      <c r="C26" s="5" t="s">
        <v>2529</v>
      </c>
      <c r="D26" s="5" t="s">
        <v>564</v>
      </c>
      <c r="E26" s="5" t="s">
        <v>565</v>
      </c>
      <c r="F26" s="5" t="s">
        <v>2530</v>
      </c>
      <c r="G26" s="5" t="s">
        <v>46</v>
      </c>
      <c r="H26" s="5" t="s">
        <v>46</v>
      </c>
      <c r="I26" s="5" t="str">
        <f aca="false">HYPERLINK("https://omim.org/entry/605909", "605909")</f>
        <v>605909</v>
      </c>
      <c r="J26" s="5" t="s">
        <v>46</v>
      </c>
      <c r="K26" s="5" t="s">
        <v>46</v>
      </c>
      <c r="L26" s="5" t="s">
        <v>46</v>
      </c>
      <c r="M26" s="5" t="s">
        <v>46</v>
      </c>
      <c r="N26" s="5" t="s">
        <v>46</v>
      </c>
      <c r="O26" s="5" t="s">
        <v>46</v>
      </c>
    </row>
    <row r="27" s="5" customFormat="true" ht="15" hidden="false" customHeight="false" outlineLevel="0" collapsed="false">
      <c r="A27" s="5" t="s">
        <v>2531</v>
      </c>
      <c r="B27" s="5" t="s">
        <v>1776</v>
      </c>
      <c r="C27" s="5" t="s">
        <v>1777</v>
      </c>
      <c r="D27" s="5" t="s">
        <v>1778</v>
      </c>
      <c r="E27" s="5" t="s">
        <v>1779</v>
      </c>
      <c r="F27" s="5" t="s">
        <v>46</v>
      </c>
      <c r="G27" s="5" t="s">
        <v>2532</v>
      </c>
      <c r="H27" s="5" t="s">
        <v>2533</v>
      </c>
      <c r="I27" s="5" t="str">
        <f aca="false">HYPERLINK("https://omim.org/entry/260300", "260300")</f>
        <v>260300</v>
      </c>
      <c r="J27" s="5" t="s">
        <v>46</v>
      </c>
      <c r="K27" s="5" t="s">
        <v>46</v>
      </c>
      <c r="L27" s="5" t="s">
        <v>46</v>
      </c>
      <c r="M27" s="5" t="s">
        <v>46</v>
      </c>
      <c r="N27" s="5" t="s">
        <v>46</v>
      </c>
      <c r="O27" s="5" t="s">
        <v>46</v>
      </c>
    </row>
    <row r="28" s="5" customFormat="true" ht="15" hidden="false" customHeight="false" outlineLevel="0" collapsed="false">
      <c r="A28" s="5" t="s">
        <v>2534</v>
      </c>
      <c r="B28" s="5" t="s">
        <v>2188</v>
      </c>
      <c r="C28" s="5" t="s">
        <v>2189</v>
      </c>
      <c r="D28" s="5" t="s">
        <v>2190</v>
      </c>
      <c r="E28" s="5" t="s">
        <v>2191</v>
      </c>
      <c r="F28" s="5" t="s">
        <v>46</v>
      </c>
      <c r="G28" s="5" t="s">
        <v>2535</v>
      </c>
      <c r="H28" s="5" t="s">
        <v>2536</v>
      </c>
      <c r="I28" s="5" t="str">
        <f aca="false">HYPERLINK("https://omim.org/entry/167800", "167800")</f>
        <v>167800</v>
      </c>
      <c r="J28" s="5" t="s">
        <v>46</v>
      </c>
      <c r="K28" s="5" t="s">
        <v>46</v>
      </c>
      <c r="L28" s="5" t="s">
        <v>46</v>
      </c>
      <c r="M28" s="5" t="s">
        <v>46</v>
      </c>
      <c r="N28" s="5" t="s">
        <v>46</v>
      </c>
      <c r="O28" s="5" t="s">
        <v>46</v>
      </c>
    </row>
    <row r="29" s="5" customFormat="true" ht="15" hidden="false" customHeight="false" outlineLevel="0" collapsed="false">
      <c r="A29" s="5" t="s">
        <v>2537</v>
      </c>
      <c r="B29" s="5" t="s">
        <v>228</v>
      </c>
      <c r="C29" s="5" t="s">
        <v>229</v>
      </c>
      <c r="D29" s="5" t="s">
        <v>230</v>
      </c>
      <c r="E29" s="5" t="s">
        <v>231</v>
      </c>
      <c r="F29" s="5" t="s">
        <v>2538</v>
      </c>
      <c r="G29" s="5" t="s">
        <v>2539</v>
      </c>
      <c r="H29" s="5" t="s">
        <v>2540</v>
      </c>
      <c r="I29" s="5" t="str">
        <f aca="false">HYPERLINK("https://omim.org/entry/166600", "166600")</f>
        <v>166600</v>
      </c>
      <c r="J29" s="5" t="s">
        <v>46</v>
      </c>
      <c r="K29" s="5" t="s">
        <v>46</v>
      </c>
      <c r="L29" s="5" t="s">
        <v>46</v>
      </c>
      <c r="M29" s="5" t="s">
        <v>46</v>
      </c>
      <c r="N29" s="5" t="s">
        <v>46</v>
      </c>
      <c r="O29" s="5" t="s">
        <v>46</v>
      </c>
    </row>
    <row r="30" s="5" customFormat="true" ht="15" hidden="false" customHeight="false" outlineLevel="0" collapsed="false">
      <c r="A30" s="5" t="s">
        <v>2541</v>
      </c>
      <c r="B30" s="5" t="s">
        <v>2118</v>
      </c>
      <c r="C30" s="5" t="s">
        <v>2119</v>
      </c>
      <c r="D30" s="5" t="s">
        <v>2120</v>
      </c>
      <c r="E30" s="5" t="s">
        <v>2121</v>
      </c>
      <c r="F30" s="5" t="s">
        <v>2542</v>
      </c>
      <c r="G30" s="5" t="s">
        <v>2543</v>
      </c>
      <c r="H30" s="5" t="s">
        <v>2544</v>
      </c>
      <c r="I30" s="5" t="str">
        <f aca="false">HYPERLINK("https://omim.org/entry/602475", "602475")</f>
        <v>602475</v>
      </c>
      <c r="J30" s="5" t="str">
        <f aca="false">HYPERLINK("https://omim.org/entry/208000", "208000")</f>
        <v>208000</v>
      </c>
      <c r="K30" s="5" t="str">
        <f aca="false">HYPERLINK("https://omim.org/entry/125853", "125853")</f>
        <v>125853</v>
      </c>
      <c r="L30" s="5" t="str">
        <f aca="false">HYPERLINK("https://omim.org/entry/613312", "613312")</f>
        <v>613312</v>
      </c>
      <c r="M30" s="5" t="str">
        <f aca="false">HYPERLINK("https://omim.org/entry/615522", "615522")</f>
        <v>615522</v>
      </c>
      <c r="N30" s="5" t="s">
        <v>46</v>
      </c>
      <c r="O30" s="5" t="s">
        <v>46</v>
      </c>
    </row>
    <row r="31" s="5" customFormat="true" ht="15" hidden="false" customHeight="false" outlineLevel="0" collapsed="false">
      <c r="A31" s="5" t="s">
        <v>2545</v>
      </c>
      <c r="B31" s="5" t="s">
        <v>1928</v>
      </c>
      <c r="C31" s="5" t="s">
        <v>1929</v>
      </c>
      <c r="D31" s="5" t="s">
        <v>1930</v>
      </c>
      <c r="E31" s="5" t="s">
        <v>1931</v>
      </c>
      <c r="F31" s="5" t="s">
        <v>2546</v>
      </c>
      <c r="G31" s="5" t="s">
        <v>2547</v>
      </c>
      <c r="H31" s="5" t="s">
        <v>2548</v>
      </c>
      <c r="I31" s="5" t="s">
        <v>46</v>
      </c>
      <c r="J31" s="5" t="s">
        <v>46</v>
      </c>
      <c r="K31" s="5" t="s">
        <v>46</v>
      </c>
      <c r="L31" s="5" t="s">
        <v>46</v>
      </c>
      <c r="M31" s="5" t="s">
        <v>46</v>
      </c>
      <c r="N31" s="5" t="s">
        <v>46</v>
      </c>
      <c r="O31" s="5" t="s">
        <v>46</v>
      </c>
    </row>
    <row r="32" s="5" customFormat="true" ht="15" hidden="false" customHeight="false" outlineLevel="0" collapsed="false">
      <c r="A32" s="5" t="s">
        <v>2549</v>
      </c>
      <c r="B32" s="5" t="s">
        <v>1593</v>
      </c>
      <c r="C32" s="5" t="s">
        <v>1594</v>
      </c>
      <c r="D32" s="5" t="s">
        <v>1595</v>
      </c>
      <c r="E32" s="5" t="s">
        <v>1596</v>
      </c>
      <c r="F32" s="5" t="s">
        <v>2550</v>
      </c>
      <c r="G32" s="5" t="s">
        <v>2551</v>
      </c>
      <c r="H32" s="5" t="s">
        <v>2552</v>
      </c>
      <c r="I32" s="5" t="str">
        <f aca="false">HYPERLINK("https://omim.org/entry/601462", "601462")</f>
        <v>601462</v>
      </c>
      <c r="J32" s="5" t="str">
        <f aca="false">HYPERLINK("https://omim.org/entry/608930", "608930")</f>
        <v>608930</v>
      </c>
      <c r="K32" s="5" t="s">
        <v>46</v>
      </c>
      <c r="L32" s="5" t="s">
        <v>46</v>
      </c>
      <c r="M32" s="5" t="s">
        <v>46</v>
      </c>
      <c r="N32" s="5" t="s">
        <v>46</v>
      </c>
      <c r="O32" s="5" t="s">
        <v>46</v>
      </c>
    </row>
    <row r="33" s="5" customFormat="true" ht="15" hidden="false" customHeight="false" outlineLevel="0" collapsed="false">
      <c r="A33" s="5" t="s">
        <v>2553</v>
      </c>
      <c r="B33" s="5" t="s">
        <v>2432</v>
      </c>
      <c r="C33" s="5" t="s">
        <v>2554</v>
      </c>
      <c r="D33" s="5" t="s">
        <v>2434</v>
      </c>
      <c r="E33" s="5" t="s">
        <v>2435</v>
      </c>
      <c r="F33" s="5" t="s">
        <v>2555</v>
      </c>
      <c r="G33" s="5" t="s">
        <v>46</v>
      </c>
      <c r="H33" s="5" t="s">
        <v>46</v>
      </c>
      <c r="I33" s="5" t="s">
        <v>46</v>
      </c>
      <c r="J33" s="5" t="s">
        <v>46</v>
      </c>
      <c r="K33" s="5" t="s">
        <v>46</v>
      </c>
      <c r="L33" s="5" t="s">
        <v>46</v>
      </c>
      <c r="M33" s="5" t="s">
        <v>46</v>
      </c>
      <c r="N33" s="5" t="s">
        <v>46</v>
      </c>
      <c r="O33" s="5" t="s">
        <v>46</v>
      </c>
    </row>
    <row r="34" s="5" customFormat="true" ht="15" hidden="false" customHeight="false" outlineLevel="0" collapsed="false">
      <c r="A34" s="5" t="s">
        <v>2556</v>
      </c>
      <c r="B34" s="5" t="s">
        <v>795</v>
      </c>
      <c r="C34" s="5" t="s">
        <v>796</v>
      </c>
      <c r="D34" s="5" t="s">
        <v>797</v>
      </c>
      <c r="E34" s="5" t="s">
        <v>798</v>
      </c>
      <c r="F34" s="5" t="s">
        <v>2557</v>
      </c>
      <c r="G34" s="5" t="s">
        <v>2558</v>
      </c>
      <c r="H34" s="5" t="s">
        <v>2559</v>
      </c>
      <c r="I34" s="5" t="str">
        <f aca="false">HYPERLINK("https://omim.org/entry/610717", "610717")</f>
        <v>610717</v>
      </c>
      <c r="J34" s="5" t="s">
        <v>46</v>
      </c>
      <c r="K34" s="5" t="s">
        <v>46</v>
      </c>
      <c r="L34" s="5" t="s">
        <v>46</v>
      </c>
      <c r="M34" s="5" t="s">
        <v>46</v>
      </c>
      <c r="N34" s="5" t="s">
        <v>46</v>
      </c>
      <c r="O34" s="5" t="s">
        <v>46</v>
      </c>
    </row>
    <row r="35" s="5" customFormat="true" ht="15" hidden="false" customHeight="false" outlineLevel="0" collapsed="false">
      <c r="A35" s="5" t="s">
        <v>2560</v>
      </c>
      <c r="B35" s="5" t="s">
        <v>255</v>
      </c>
      <c r="C35" s="5" t="s">
        <v>256</v>
      </c>
      <c r="D35" s="5" t="s">
        <v>257</v>
      </c>
      <c r="E35" s="5" t="s">
        <v>258</v>
      </c>
      <c r="F35" s="5" t="s">
        <v>2561</v>
      </c>
      <c r="G35" s="5" t="s">
        <v>2562</v>
      </c>
      <c r="H35" s="5" t="s">
        <v>2563</v>
      </c>
      <c r="I35" s="5" t="str">
        <f aca="false">HYPERLINK("https://omim.org/entry/168601", "168601")</f>
        <v>168601</v>
      </c>
      <c r="J35" s="5" t="str">
        <f aca="false">HYPERLINK("https://omim.org/entry/605543", "605543")</f>
        <v>605543</v>
      </c>
      <c r="K35" s="5" t="str">
        <f aca="false">HYPERLINK("https://omim.org/entry/127750", "127750")</f>
        <v>127750</v>
      </c>
      <c r="L35" s="5" t="s">
        <v>46</v>
      </c>
      <c r="M35" s="5" t="s">
        <v>46</v>
      </c>
      <c r="N35" s="5" t="s">
        <v>46</v>
      </c>
      <c r="O35" s="5" t="s">
        <v>46</v>
      </c>
    </row>
    <row r="36" s="5" customFormat="true" ht="15" hidden="false" customHeight="false" outlineLevel="0" collapsed="false">
      <c r="A36" s="5" t="s">
        <v>2564</v>
      </c>
      <c r="B36" s="5" t="s">
        <v>2060</v>
      </c>
      <c r="C36" s="5" t="s">
        <v>2061</v>
      </c>
      <c r="D36" s="5" t="s">
        <v>2062</v>
      </c>
      <c r="E36" s="5" t="s">
        <v>2063</v>
      </c>
      <c r="F36" s="5" t="s">
        <v>2565</v>
      </c>
      <c r="G36" s="5" t="s">
        <v>2566</v>
      </c>
      <c r="H36" s="5" t="s">
        <v>2567</v>
      </c>
      <c r="I36" s="5" t="s">
        <v>46</v>
      </c>
      <c r="J36" s="5" t="s">
        <v>46</v>
      </c>
      <c r="K36" s="5" t="s">
        <v>46</v>
      </c>
      <c r="L36" s="5" t="s">
        <v>46</v>
      </c>
      <c r="M36" s="5" t="s">
        <v>46</v>
      </c>
      <c r="N36" s="5" t="s">
        <v>46</v>
      </c>
      <c r="O36" s="5" t="s">
        <v>46</v>
      </c>
    </row>
    <row r="37" s="5" customFormat="true" ht="15" hidden="false" customHeight="false" outlineLevel="0" collapsed="false">
      <c r="A37" s="5" t="s">
        <v>2568</v>
      </c>
      <c r="B37" s="5" t="s">
        <v>1057</v>
      </c>
      <c r="C37" s="5" t="s">
        <v>1058</v>
      </c>
      <c r="D37" s="5" t="s">
        <v>1059</v>
      </c>
      <c r="E37" s="5" t="s">
        <v>1060</v>
      </c>
      <c r="F37" s="5" t="s">
        <v>2569</v>
      </c>
      <c r="G37" s="5" t="s">
        <v>2570</v>
      </c>
      <c r="H37" s="5" t="s">
        <v>2571</v>
      </c>
      <c r="I37" s="5" t="str">
        <f aca="false">HYPERLINK("https://omim.org/entry/275200", "275200")</f>
        <v>275200</v>
      </c>
      <c r="J37" s="5" t="str">
        <f aca="false">HYPERLINK("https://omim.org/entry/603373", "603373")</f>
        <v>603373</v>
      </c>
      <c r="K37" s="5" t="str">
        <f aca="false">HYPERLINK("https://omim.org/entry/609152", "609152")</f>
        <v>609152</v>
      </c>
      <c r="L37" s="5" t="s">
        <v>46</v>
      </c>
      <c r="M37" s="5" t="s">
        <v>46</v>
      </c>
      <c r="N37" s="5" t="s">
        <v>46</v>
      </c>
      <c r="O37" s="5" t="s">
        <v>46</v>
      </c>
    </row>
    <row r="38" s="5" customFormat="true" ht="15" hidden="false" customHeight="false" outlineLevel="0" collapsed="false">
      <c r="A38" s="5" t="s">
        <v>2572</v>
      </c>
      <c r="B38" s="5" t="s">
        <v>1787</v>
      </c>
      <c r="C38" s="5" t="s">
        <v>1788</v>
      </c>
      <c r="D38" s="5" t="s">
        <v>1789</v>
      </c>
      <c r="E38" s="5" t="s">
        <v>1790</v>
      </c>
      <c r="F38" s="5" t="s">
        <v>46</v>
      </c>
      <c r="G38" s="5" t="s">
        <v>2573</v>
      </c>
      <c r="H38" s="5" t="s">
        <v>2574</v>
      </c>
      <c r="I38" s="5" t="str">
        <f aca="false">HYPERLINK("https://omim.org/entry/613684", "613684")</f>
        <v>613684</v>
      </c>
      <c r="J38" s="5" t="s">
        <v>46</v>
      </c>
      <c r="K38" s="5" t="s">
        <v>46</v>
      </c>
      <c r="L38" s="5" t="s">
        <v>46</v>
      </c>
      <c r="M38" s="5" t="s">
        <v>46</v>
      </c>
      <c r="N38" s="5" t="s">
        <v>46</v>
      </c>
      <c r="O38" s="5" t="s">
        <v>46</v>
      </c>
    </row>
    <row r="39" s="5" customFormat="true" ht="15" hidden="false" customHeight="false" outlineLevel="0" collapsed="false">
      <c r="A39" s="5" t="s">
        <v>2575</v>
      </c>
      <c r="B39" s="5" t="s">
        <v>201</v>
      </c>
      <c r="C39" s="5" t="s">
        <v>202</v>
      </c>
      <c r="D39" s="5" t="s">
        <v>203</v>
      </c>
      <c r="E39" s="5" t="s">
        <v>204</v>
      </c>
      <c r="F39" s="5" t="s">
        <v>2576</v>
      </c>
      <c r="G39" s="5" t="s">
        <v>2577</v>
      </c>
      <c r="H39" s="5" t="s">
        <v>2578</v>
      </c>
      <c r="I39" s="5" t="str">
        <f aca="false">HYPERLINK("https://omim.org/entry/176430", "176430")</f>
        <v>176430</v>
      </c>
      <c r="J39" s="5" t="str">
        <f aca="false">HYPERLINK("https://omim.org/entry/257300", "257300")</f>
        <v>257300</v>
      </c>
      <c r="K39" s="5" t="s">
        <v>46</v>
      </c>
      <c r="L39" s="5" t="s">
        <v>46</v>
      </c>
      <c r="M39" s="5" t="s">
        <v>46</v>
      </c>
      <c r="N39" s="5" t="s">
        <v>46</v>
      </c>
      <c r="O39" s="5" t="s">
        <v>46</v>
      </c>
    </row>
    <row r="40" s="5" customFormat="true" ht="15" hidden="false" customHeight="false" outlineLevel="0" collapsed="false">
      <c r="A40" s="5" t="s">
        <v>2579</v>
      </c>
      <c r="B40" s="5" t="s">
        <v>1804</v>
      </c>
      <c r="C40" s="5" t="s">
        <v>1805</v>
      </c>
      <c r="D40" s="5" t="s">
        <v>1806</v>
      </c>
      <c r="E40" s="5" t="s">
        <v>1807</v>
      </c>
      <c r="F40" s="5" t="s">
        <v>2580</v>
      </c>
      <c r="G40" s="5" t="s">
        <v>2581</v>
      </c>
      <c r="H40" s="5" t="s">
        <v>2582</v>
      </c>
      <c r="I40" s="5" t="s">
        <v>46</v>
      </c>
      <c r="J40" s="5" t="s">
        <v>46</v>
      </c>
      <c r="K40" s="5" t="s">
        <v>46</v>
      </c>
      <c r="L40" s="5" t="s">
        <v>46</v>
      </c>
      <c r="M40" s="5" t="s">
        <v>46</v>
      </c>
      <c r="N40" s="5" t="s">
        <v>46</v>
      </c>
      <c r="O40" s="5" t="s">
        <v>46</v>
      </c>
    </row>
    <row r="41" s="5" customFormat="true" ht="15" hidden="false" customHeight="false" outlineLevel="0" collapsed="false">
      <c r="A41" s="5" t="s">
        <v>2583</v>
      </c>
      <c r="B41" s="5" t="s">
        <v>2079</v>
      </c>
      <c r="C41" s="5" t="s">
        <v>2080</v>
      </c>
      <c r="D41" s="5" t="s">
        <v>2081</v>
      </c>
      <c r="E41" s="5" t="s">
        <v>2082</v>
      </c>
      <c r="F41" s="5" t="s">
        <v>2584</v>
      </c>
      <c r="G41" s="5" t="s">
        <v>46</v>
      </c>
      <c r="H41" s="5" t="s">
        <v>46</v>
      </c>
      <c r="I41" s="5" t="str">
        <f aca="false">HYPERLINK("https://omim.org/entry/177900", "177900")</f>
        <v>177900</v>
      </c>
      <c r="J41" s="5" t="str">
        <f aca="false">HYPERLINK("https://omim.org/entry/607507", "607507")</f>
        <v>607507</v>
      </c>
      <c r="K41" s="5" t="s">
        <v>46</v>
      </c>
      <c r="L41" s="5" t="s">
        <v>46</v>
      </c>
      <c r="M41" s="5" t="s">
        <v>46</v>
      </c>
      <c r="N41" s="5" t="s">
        <v>46</v>
      </c>
      <c r="O41" s="5" t="s">
        <v>46</v>
      </c>
    </row>
    <row r="42" s="5" customFormat="true" ht="15" hidden="false" customHeight="false" outlineLevel="0" collapsed="false">
      <c r="A42" s="5" t="s">
        <v>2585</v>
      </c>
      <c r="B42" s="5" t="s">
        <v>433</v>
      </c>
      <c r="C42" s="5" t="s">
        <v>434</v>
      </c>
      <c r="D42" s="5" t="s">
        <v>435</v>
      </c>
      <c r="E42" s="5" t="s">
        <v>436</v>
      </c>
      <c r="F42" s="5" t="s">
        <v>2586</v>
      </c>
      <c r="G42" s="5" t="s">
        <v>2587</v>
      </c>
      <c r="H42" s="5" t="s">
        <v>2588</v>
      </c>
      <c r="I42" s="5" t="str">
        <f aca="false">HYPERLINK("https://omim.org/entry/164280", "164280")</f>
        <v>164280</v>
      </c>
      <c r="J42" s="5" t="s">
        <v>46</v>
      </c>
      <c r="K42" s="5" t="s">
        <v>46</v>
      </c>
      <c r="L42" s="5" t="s">
        <v>46</v>
      </c>
      <c r="M42" s="5" t="s">
        <v>46</v>
      </c>
      <c r="N42" s="5" t="s">
        <v>46</v>
      </c>
      <c r="O42" s="5" t="s">
        <v>46</v>
      </c>
    </row>
    <row r="43" s="5" customFormat="true" ht="15" hidden="false" customHeight="false" outlineLevel="0" collapsed="false">
      <c r="A43" s="5" t="s">
        <v>2589</v>
      </c>
      <c r="B43" s="5" t="s">
        <v>1728</v>
      </c>
      <c r="C43" s="5" t="s">
        <v>1729</v>
      </c>
      <c r="D43" s="5" t="s">
        <v>1730</v>
      </c>
      <c r="E43" s="5" t="s">
        <v>1731</v>
      </c>
      <c r="F43" s="5" t="s">
        <v>2590</v>
      </c>
      <c r="G43" s="5" t="s">
        <v>2591</v>
      </c>
      <c r="H43" s="5" t="s">
        <v>2592</v>
      </c>
      <c r="I43" s="5" t="str">
        <f aca="false">HYPERLINK("https://omim.org/entry/604219", "604219")</f>
        <v>604219</v>
      </c>
      <c r="J43" s="5" t="s">
        <v>46</v>
      </c>
      <c r="K43" s="5" t="s">
        <v>46</v>
      </c>
      <c r="L43" s="5" t="s">
        <v>46</v>
      </c>
      <c r="M43" s="5" t="s">
        <v>46</v>
      </c>
      <c r="N43" s="5" t="s">
        <v>46</v>
      </c>
      <c r="O43" s="5" t="s">
        <v>46</v>
      </c>
    </row>
    <row r="44" s="5" customFormat="true" ht="15" hidden="false" customHeight="false" outlineLevel="0" collapsed="false">
      <c r="A44" s="5" t="s">
        <v>2593</v>
      </c>
      <c r="B44" s="5" t="s">
        <v>103</v>
      </c>
      <c r="C44" s="5" t="s">
        <v>104</v>
      </c>
      <c r="D44" s="5" t="s">
        <v>105</v>
      </c>
      <c r="E44" s="5" t="s">
        <v>106</v>
      </c>
      <c r="F44" s="5" t="s">
        <v>2594</v>
      </c>
      <c r="G44" s="5" t="s">
        <v>2595</v>
      </c>
      <c r="H44" s="5" t="s">
        <v>46</v>
      </c>
      <c r="I44" s="5" t="str">
        <f aca="false">HYPERLINK("https://omim.org/entry/609135", "609135")</f>
        <v>609135</v>
      </c>
      <c r="J44" s="5" t="str">
        <f aca="false">HYPERLINK("https://omim.org/entry/613989", "613989")</f>
        <v>613989</v>
      </c>
      <c r="K44" s="5" t="str">
        <f aca="false">HYPERLINK("https://omim.org/entry/614742", "614742")</f>
        <v>614742</v>
      </c>
      <c r="L44" s="5" t="str">
        <f aca="false">HYPERLINK("https://omim.org/entry/613989", "613989")</f>
        <v>613989</v>
      </c>
      <c r="M44" s="5" t="str">
        <f aca="false">HYPERLINK("https://omim.org/entry/178500", "178500")</f>
        <v>178500</v>
      </c>
      <c r="N44" s="5" t="str">
        <f aca="false">HYPERLINK("https://omim.org/entry/615134", "615134")</f>
        <v>615134</v>
      </c>
      <c r="O44" s="5" t="s">
        <v>46</v>
      </c>
    </row>
    <row r="45" s="5" customFormat="true" ht="15" hidden="false" customHeight="false" outlineLevel="0" collapsed="false">
      <c r="A45" s="5" t="s">
        <v>2596</v>
      </c>
      <c r="B45" s="5" t="s">
        <v>981</v>
      </c>
      <c r="C45" s="5" t="s">
        <v>982</v>
      </c>
      <c r="D45" s="5" t="s">
        <v>983</v>
      </c>
      <c r="E45" s="5" t="s">
        <v>984</v>
      </c>
      <c r="F45" s="5" t="s">
        <v>46</v>
      </c>
      <c r="G45" s="5" t="s">
        <v>46</v>
      </c>
      <c r="H45" s="5" t="s">
        <v>46</v>
      </c>
      <c r="I45" s="5" t="s">
        <v>46</v>
      </c>
      <c r="J45" s="5" t="s">
        <v>46</v>
      </c>
      <c r="K45" s="5" t="s">
        <v>46</v>
      </c>
      <c r="L45" s="5" t="s">
        <v>46</v>
      </c>
      <c r="M45" s="5" t="s">
        <v>46</v>
      </c>
      <c r="N45" s="5" t="s">
        <v>46</v>
      </c>
      <c r="O45" s="5" t="s">
        <v>46</v>
      </c>
    </row>
    <row r="46" s="5" customFormat="true" ht="15" hidden="false" customHeight="false" outlineLevel="0" collapsed="false">
      <c r="A46" s="5" t="s">
        <v>2597</v>
      </c>
      <c r="B46" s="5" t="s">
        <v>1274</v>
      </c>
      <c r="C46" s="5" t="s">
        <v>1275</v>
      </c>
      <c r="D46" s="5" t="s">
        <v>1276</v>
      </c>
      <c r="E46" s="5" t="s">
        <v>1277</v>
      </c>
      <c r="F46" s="5" t="s">
        <v>2598</v>
      </c>
      <c r="G46" s="5" t="s">
        <v>2599</v>
      </c>
      <c r="H46" s="5" t="s">
        <v>2600</v>
      </c>
      <c r="I46" s="5" t="s">
        <v>46</v>
      </c>
      <c r="J46" s="5" t="s">
        <v>46</v>
      </c>
      <c r="K46" s="5" t="s">
        <v>46</v>
      </c>
      <c r="L46" s="5" t="s">
        <v>46</v>
      </c>
      <c r="M46" s="5" t="s">
        <v>46</v>
      </c>
      <c r="N46" s="5" t="s">
        <v>46</v>
      </c>
      <c r="O46" s="5" t="s">
        <v>46</v>
      </c>
    </row>
    <row r="47" s="5" customFormat="true" ht="15" hidden="false" customHeight="false" outlineLevel="0" collapsed="false">
      <c r="A47" s="5" t="s">
        <v>2601</v>
      </c>
      <c r="B47" s="5" t="s">
        <v>823</v>
      </c>
      <c r="C47" s="5" t="s">
        <v>824</v>
      </c>
      <c r="D47" s="5" t="s">
        <v>825</v>
      </c>
      <c r="E47" s="5" t="s">
        <v>826</v>
      </c>
      <c r="F47" s="5" t="s">
        <v>46</v>
      </c>
      <c r="G47" s="5" t="s">
        <v>2602</v>
      </c>
      <c r="H47" s="5" t="s">
        <v>2603</v>
      </c>
      <c r="I47" s="5" t="s">
        <v>46</v>
      </c>
      <c r="J47" s="5" t="s">
        <v>46</v>
      </c>
      <c r="K47" s="5" t="s">
        <v>46</v>
      </c>
      <c r="L47" s="5" t="s">
        <v>46</v>
      </c>
      <c r="M47" s="5" t="s">
        <v>46</v>
      </c>
      <c r="N47" s="5" t="s">
        <v>46</v>
      </c>
      <c r="O47" s="5" t="s">
        <v>46</v>
      </c>
    </row>
    <row r="48" s="5" customFormat="true" ht="15" hidden="false" customHeight="false" outlineLevel="0" collapsed="false">
      <c r="A48" s="5" t="s">
        <v>2604</v>
      </c>
      <c r="B48" s="5" t="s">
        <v>2362</v>
      </c>
      <c r="C48" s="5" t="s">
        <v>2363</v>
      </c>
      <c r="D48" s="5" t="s">
        <v>2364</v>
      </c>
      <c r="E48" s="5" t="s">
        <v>2365</v>
      </c>
      <c r="F48" s="5" t="s">
        <v>2605</v>
      </c>
      <c r="G48" s="5" t="s">
        <v>2606</v>
      </c>
      <c r="H48" s="5" t="s">
        <v>2607</v>
      </c>
      <c r="I48" s="5" t="s">
        <v>46</v>
      </c>
      <c r="J48" s="5" t="s">
        <v>46</v>
      </c>
      <c r="K48" s="5" t="s">
        <v>46</v>
      </c>
      <c r="L48" s="5" t="s">
        <v>46</v>
      </c>
      <c r="M48" s="5" t="s">
        <v>46</v>
      </c>
      <c r="N48" s="5" t="s">
        <v>46</v>
      </c>
      <c r="O48" s="5" t="s">
        <v>46</v>
      </c>
    </row>
    <row r="49" s="5" customFormat="true" ht="15" hidden="false" customHeight="false" outlineLevel="0" collapsed="false">
      <c r="A49" s="5" t="s">
        <v>2608</v>
      </c>
      <c r="B49" s="5" t="s">
        <v>2320</v>
      </c>
      <c r="C49" s="5" t="s">
        <v>2321</v>
      </c>
      <c r="D49" s="5" t="s">
        <v>2322</v>
      </c>
      <c r="E49" s="5" t="s">
        <v>2323</v>
      </c>
      <c r="F49" s="5" t="s">
        <v>2609</v>
      </c>
      <c r="G49" s="5" t="s">
        <v>2610</v>
      </c>
      <c r="H49" s="5" t="s">
        <v>2611</v>
      </c>
      <c r="I49" s="5" t="s">
        <v>46</v>
      </c>
      <c r="J49" s="5" t="s">
        <v>46</v>
      </c>
      <c r="K49" s="5" t="s">
        <v>46</v>
      </c>
      <c r="L49" s="5" t="s">
        <v>46</v>
      </c>
      <c r="M49" s="5" t="s">
        <v>46</v>
      </c>
      <c r="N49" s="5" t="s">
        <v>46</v>
      </c>
      <c r="O49" s="5" t="s">
        <v>46</v>
      </c>
    </row>
    <row r="50" s="5" customFormat="true" ht="15" hidden="false" customHeight="false" outlineLevel="0" collapsed="false">
      <c r="A50" s="5" t="s">
        <v>2612</v>
      </c>
      <c r="B50" s="5" t="s">
        <v>1891</v>
      </c>
      <c r="C50" s="5" t="s">
        <v>2613</v>
      </c>
      <c r="D50" s="5" t="s">
        <v>46</v>
      </c>
      <c r="E50" s="5" t="s">
        <v>1893</v>
      </c>
      <c r="F50" s="5" t="s">
        <v>2614</v>
      </c>
      <c r="G50" s="5" t="s">
        <v>2615</v>
      </c>
      <c r="H50" s="5" t="s">
        <v>2616</v>
      </c>
      <c r="I50" s="5" t="s">
        <v>46</v>
      </c>
      <c r="J50" s="5" t="s">
        <v>46</v>
      </c>
      <c r="K50" s="5" t="s">
        <v>46</v>
      </c>
      <c r="L50" s="5" t="s">
        <v>46</v>
      </c>
      <c r="M50" s="5" t="s">
        <v>46</v>
      </c>
      <c r="N50" s="5" t="s">
        <v>46</v>
      </c>
      <c r="O50" s="5" t="s">
        <v>46</v>
      </c>
    </row>
    <row r="51" s="5" customFormat="true" ht="15" hidden="false" customHeight="false" outlineLevel="0" collapsed="false">
      <c r="A51" s="5" t="s">
        <v>2617</v>
      </c>
      <c r="B51" s="5" t="s">
        <v>1238</v>
      </c>
      <c r="C51" s="5" t="s">
        <v>1239</v>
      </c>
      <c r="D51" s="5" t="s">
        <v>1240</v>
      </c>
      <c r="E51" s="5" t="s">
        <v>1241</v>
      </c>
      <c r="F51" s="5" t="s">
        <v>46</v>
      </c>
      <c r="G51" s="5" t="s">
        <v>2618</v>
      </c>
      <c r="H51" s="5" t="s">
        <v>46</v>
      </c>
      <c r="I51" s="5" t="str">
        <f aca="false">HYPERLINK("https://omim.org/entry/605899", "605899")</f>
        <v>605899</v>
      </c>
      <c r="J51" s="5" t="s">
        <v>46</v>
      </c>
      <c r="K51" s="5" t="s">
        <v>46</v>
      </c>
      <c r="L51" s="5" t="s">
        <v>46</v>
      </c>
      <c r="M51" s="5" t="s">
        <v>46</v>
      </c>
      <c r="N51" s="5" t="s">
        <v>46</v>
      </c>
      <c r="O51" s="5" t="s">
        <v>46</v>
      </c>
    </row>
    <row r="52" s="5" customFormat="true" ht="15" hidden="false" customHeight="false" outlineLevel="0" collapsed="false">
      <c r="A52" s="5" t="s">
        <v>2619</v>
      </c>
      <c r="B52" s="5" t="s">
        <v>878</v>
      </c>
      <c r="C52" s="5" t="s">
        <v>879</v>
      </c>
      <c r="D52" s="5" t="s">
        <v>880</v>
      </c>
      <c r="E52" s="5" t="s">
        <v>881</v>
      </c>
      <c r="F52" s="5" t="s">
        <v>2620</v>
      </c>
      <c r="G52" s="5" t="s">
        <v>2621</v>
      </c>
      <c r="H52" s="5" t="s">
        <v>2622</v>
      </c>
      <c r="I52" s="5" t="str">
        <f aca="false">HYPERLINK("https://omim.org/entry/613068", "613068")</f>
        <v>613068</v>
      </c>
      <c r="J52" s="5" t="s">
        <v>46</v>
      </c>
      <c r="K52" s="5" t="s">
        <v>46</v>
      </c>
      <c r="L52" s="5" t="s">
        <v>46</v>
      </c>
      <c r="M52" s="5" t="s">
        <v>46</v>
      </c>
      <c r="N52" s="5" t="s">
        <v>46</v>
      </c>
      <c r="O52" s="5" t="s">
        <v>46</v>
      </c>
    </row>
    <row r="53" s="5" customFormat="true" ht="15" hidden="false" customHeight="false" outlineLevel="0" collapsed="false">
      <c r="A53" s="5" t="s">
        <v>2623</v>
      </c>
      <c r="B53" s="5" t="s">
        <v>1027</v>
      </c>
      <c r="C53" s="5" t="s">
        <v>1028</v>
      </c>
      <c r="D53" s="5" t="s">
        <v>46</v>
      </c>
      <c r="E53" s="5" t="s">
        <v>1029</v>
      </c>
      <c r="F53" s="5" t="s">
        <v>2624</v>
      </c>
      <c r="G53" s="5" t="s">
        <v>2625</v>
      </c>
      <c r="H53" s="5" t="s">
        <v>2626</v>
      </c>
      <c r="I53" s="5" t="str">
        <f aca="false">HYPERLINK("https://omim.org/entry/601634", "601634")</f>
        <v>601634</v>
      </c>
      <c r="J53" s="5" t="str">
        <f aca="false">HYPERLINK("https://omim.org/entry/114500", "114500")</f>
        <v>114500</v>
      </c>
      <c r="K53" s="5" t="s">
        <v>46</v>
      </c>
      <c r="L53" s="5" t="s">
        <v>46</v>
      </c>
      <c r="M53" s="5" t="s">
        <v>46</v>
      </c>
      <c r="N53" s="5" t="s">
        <v>46</v>
      </c>
      <c r="O53" s="5" t="s">
        <v>46</v>
      </c>
    </row>
    <row r="54" s="5" customFormat="true" ht="15" hidden="false" customHeight="false" outlineLevel="0" collapsed="false">
      <c r="A54" s="5" t="s">
        <v>2627</v>
      </c>
      <c r="B54" s="5" t="s">
        <v>46</v>
      </c>
      <c r="C54" s="5" t="s">
        <v>531</v>
      </c>
      <c r="D54" s="5" t="s">
        <v>532</v>
      </c>
      <c r="E54" s="5" t="s">
        <v>533</v>
      </c>
      <c r="F54" s="5" t="s">
        <v>46</v>
      </c>
      <c r="G54" s="5" t="s">
        <v>46</v>
      </c>
      <c r="H54" s="5" t="s">
        <v>46</v>
      </c>
      <c r="I54" s="5" t="str">
        <f aca="false">HYPERLINK("https://omim.org/entry/615862", "615862")</f>
        <v>615862</v>
      </c>
      <c r="J54" s="5" t="s">
        <v>46</v>
      </c>
      <c r="K54" s="5" t="s">
        <v>46</v>
      </c>
      <c r="L54" s="5" t="s">
        <v>46</v>
      </c>
      <c r="M54" s="5" t="s">
        <v>46</v>
      </c>
      <c r="N54" s="5" t="s">
        <v>46</v>
      </c>
      <c r="O54" s="5" t="s">
        <v>46</v>
      </c>
    </row>
    <row r="55" s="5" customFormat="true" ht="15" hidden="false" customHeight="false" outlineLevel="0" collapsed="false">
      <c r="A55" s="5" t="s">
        <v>2628</v>
      </c>
      <c r="B55" s="5" t="s">
        <v>1652</v>
      </c>
      <c r="C55" s="5" t="s">
        <v>1653</v>
      </c>
      <c r="D55" s="5" t="s">
        <v>1654</v>
      </c>
      <c r="E55" s="5" t="s">
        <v>1655</v>
      </c>
      <c r="F55" s="5" t="s">
        <v>2629</v>
      </c>
      <c r="G55" s="5" t="s">
        <v>2630</v>
      </c>
      <c r="H55" s="5" t="s">
        <v>2631</v>
      </c>
      <c r="I55" s="5" t="str">
        <f aca="false">HYPERLINK("https://omim.org/entry/616330", "616330")</f>
        <v>616330</v>
      </c>
      <c r="J55" s="5" t="s">
        <v>46</v>
      </c>
      <c r="K55" s="5" t="s">
        <v>46</v>
      </c>
      <c r="L55" s="5" t="s">
        <v>46</v>
      </c>
      <c r="M55" s="5" t="s">
        <v>46</v>
      </c>
      <c r="N55" s="5" t="s">
        <v>46</v>
      </c>
      <c r="O55" s="5" t="s">
        <v>46</v>
      </c>
    </row>
    <row r="56" s="5" customFormat="true" ht="15" hidden="false" customHeight="false" outlineLevel="0" collapsed="false">
      <c r="A56" s="5" t="s">
        <v>2632</v>
      </c>
      <c r="B56" s="5" t="s">
        <v>1329</v>
      </c>
      <c r="C56" s="5" t="s">
        <v>1330</v>
      </c>
      <c r="D56" s="5" t="s">
        <v>1331</v>
      </c>
      <c r="E56" s="5" t="s">
        <v>1332</v>
      </c>
      <c r="F56" s="5" t="s">
        <v>2633</v>
      </c>
      <c r="G56" s="5" t="s">
        <v>2634</v>
      </c>
      <c r="H56" s="5" t="s">
        <v>2635</v>
      </c>
      <c r="I56" s="5" t="str">
        <f aca="false">HYPERLINK("https://omim.org/entry/607151", "607151")</f>
        <v>607151</v>
      </c>
      <c r="J56" s="5" t="s">
        <v>46</v>
      </c>
      <c r="K56" s="5" t="s">
        <v>46</v>
      </c>
      <c r="L56" s="5" t="s">
        <v>46</v>
      </c>
      <c r="M56" s="5" t="s">
        <v>46</v>
      </c>
      <c r="N56" s="5" t="s">
        <v>46</v>
      </c>
      <c r="O56" s="5" t="s">
        <v>46</v>
      </c>
    </row>
    <row r="57" s="5" customFormat="true" ht="15" hidden="false" customHeight="false" outlineLevel="0" collapsed="false">
      <c r="A57" s="5" t="s">
        <v>2636</v>
      </c>
      <c r="B57" s="5" t="s">
        <v>1379</v>
      </c>
      <c r="C57" s="5" t="s">
        <v>1380</v>
      </c>
      <c r="D57" s="5" t="s">
        <v>1381</v>
      </c>
      <c r="E57" s="5" t="s">
        <v>1382</v>
      </c>
      <c r="F57" s="5" t="s">
        <v>2637</v>
      </c>
      <c r="G57" s="5" t="s">
        <v>2638</v>
      </c>
      <c r="H57" s="5" t="s">
        <v>2639</v>
      </c>
      <c r="I57" s="5" t="str">
        <f aca="false">HYPERLINK("https://omim.org/entry/157600", "157600")</f>
        <v>157600</v>
      </c>
      <c r="J57" s="5" t="s">
        <v>46</v>
      </c>
      <c r="K57" s="5" t="s">
        <v>46</v>
      </c>
      <c r="L57" s="5" t="s">
        <v>46</v>
      </c>
      <c r="M57" s="5" t="s">
        <v>46</v>
      </c>
      <c r="N57" s="5" t="s">
        <v>46</v>
      </c>
      <c r="O57" s="5" t="s">
        <v>46</v>
      </c>
    </row>
    <row r="58" s="5" customFormat="true" ht="15" hidden="false" customHeight="false" outlineLevel="0" collapsed="false">
      <c r="A58" s="5" t="s">
        <v>2640</v>
      </c>
      <c r="B58" s="5" t="s">
        <v>1233</v>
      </c>
      <c r="C58" s="5" t="s">
        <v>1234</v>
      </c>
      <c r="D58" s="5" t="s">
        <v>46</v>
      </c>
      <c r="E58" s="5" t="s">
        <v>1235</v>
      </c>
      <c r="F58" s="5" t="s">
        <v>2641</v>
      </c>
      <c r="G58" s="5" t="s">
        <v>2642</v>
      </c>
      <c r="H58" s="5" t="s">
        <v>2643</v>
      </c>
      <c r="I58" s="5" t="str">
        <f aca="false">HYPERLINK("https://omim.org/entry/615458", "615458")</f>
        <v>615458</v>
      </c>
      <c r="J58" s="5" t="s">
        <v>46</v>
      </c>
      <c r="K58" s="5" t="s">
        <v>46</v>
      </c>
      <c r="L58" s="5" t="s">
        <v>46</v>
      </c>
      <c r="M58" s="5" t="s">
        <v>46</v>
      </c>
      <c r="N58" s="5" t="s">
        <v>46</v>
      </c>
      <c r="O58" s="5" t="s">
        <v>46</v>
      </c>
    </row>
    <row r="59" s="5" customFormat="true" ht="15" hidden="false" customHeight="false" outlineLevel="0" collapsed="false">
      <c r="A59" s="5" t="s">
        <v>2644</v>
      </c>
      <c r="B59" s="5" t="s">
        <v>2310</v>
      </c>
      <c r="C59" s="5" t="s">
        <v>2311</v>
      </c>
      <c r="D59" s="5" t="s">
        <v>2312</v>
      </c>
      <c r="E59" s="5" t="s">
        <v>2313</v>
      </c>
      <c r="F59" s="5" t="s">
        <v>2645</v>
      </c>
      <c r="G59" s="5" t="s">
        <v>2646</v>
      </c>
      <c r="H59" s="5" t="s">
        <v>2647</v>
      </c>
      <c r="I59" s="5" t="str">
        <f aca="false">HYPERLINK("https://omim.org/entry/604804", "604804")</f>
        <v>604804</v>
      </c>
      <c r="J59" s="5" t="s">
        <v>46</v>
      </c>
      <c r="K59" s="5" t="s">
        <v>46</v>
      </c>
      <c r="L59" s="5" t="s">
        <v>46</v>
      </c>
      <c r="M59" s="5" t="s">
        <v>46</v>
      </c>
      <c r="N59" s="5" t="s">
        <v>46</v>
      </c>
      <c r="O59" s="5" t="s">
        <v>46</v>
      </c>
    </row>
    <row r="60" s="5" customFormat="true" ht="15" hidden="false" customHeight="false" outlineLevel="0" collapsed="false">
      <c r="A60" s="5" t="s">
        <v>2648</v>
      </c>
      <c r="B60" s="5" t="s">
        <v>705</v>
      </c>
      <c r="C60" s="5" t="s">
        <v>706</v>
      </c>
      <c r="D60" s="5" t="s">
        <v>707</v>
      </c>
      <c r="E60" s="5" t="s">
        <v>708</v>
      </c>
      <c r="F60" s="5" t="s">
        <v>2649</v>
      </c>
      <c r="G60" s="5" t="s">
        <v>2650</v>
      </c>
      <c r="H60" s="5" t="s">
        <v>2651</v>
      </c>
      <c r="I60" s="5" t="str">
        <f aca="false">HYPERLINK("https://omim.org/entry/616193", "616193")</f>
        <v>616193</v>
      </c>
      <c r="J60" s="5" t="s">
        <v>46</v>
      </c>
      <c r="K60" s="5" t="s">
        <v>46</v>
      </c>
      <c r="L60" s="5" t="s">
        <v>46</v>
      </c>
      <c r="M60" s="5" t="s">
        <v>46</v>
      </c>
      <c r="N60" s="5" t="s">
        <v>46</v>
      </c>
      <c r="O60" s="5" t="s">
        <v>46</v>
      </c>
    </row>
    <row r="61" s="5" customFormat="true" ht="15" hidden="false" customHeight="false" outlineLevel="0" collapsed="false">
      <c r="A61" s="5" t="s">
        <v>2652</v>
      </c>
      <c r="B61" s="5" t="s">
        <v>51</v>
      </c>
      <c r="C61" s="5" t="s">
        <v>1079</v>
      </c>
      <c r="D61" s="5" t="s">
        <v>1080</v>
      </c>
      <c r="E61" s="5" t="s">
        <v>1081</v>
      </c>
      <c r="F61" s="5" t="s">
        <v>46</v>
      </c>
      <c r="G61" s="5" t="s">
        <v>2653</v>
      </c>
      <c r="H61" s="5" t="s">
        <v>2654</v>
      </c>
      <c r="I61" s="5" t="str">
        <f aca="false">HYPERLINK("https://omim.org/entry/615516", "615516")</f>
        <v>615516</v>
      </c>
      <c r="J61" s="5" t="s">
        <v>46</v>
      </c>
      <c r="K61" s="5" t="s">
        <v>46</v>
      </c>
      <c r="L61" s="5" t="s">
        <v>46</v>
      </c>
      <c r="M61" s="5" t="s">
        <v>46</v>
      </c>
      <c r="N61" s="5" t="s">
        <v>46</v>
      </c>
      <c r="O61" s="5" t="s">
        <v>46</v>
      </c>
    </row>
    <row r="62" s="5" customFormat="true" ht="15" hidden="false" customHeight="false" outlineLevel="0" collapsed="false">
      <c r="A62" s="5" t="s">
        <v>2655</v>
      </c>
      <c r="B62" s="5" t="s">
        <v>115</v>
      </c>
      <c r="C62" s="5" t="s">
        <v>116</v>
      </c>
      <c r="D62" s="5" t="s">
        <v>117</v>
      </c>
      <c r="E62" s="5" t="s">
        <v>118</v>
      </c>
      <c r="F62" s="5" t="s">
        <v>2656</v>
      </c>
      <c r="G62" s="5" t="s">
        <v>2657</v>
      </c>
      <c r="H62" s="5" t="s">
        <v>2658</v>
      </c>
      <c r="I62" s="5" t="str">
        <f aca="false">HYPERLINK("https://omim.org/entry/155100", "155100")</f>
        <v>155100</v>
      </c>
      <c r="J62" s="5" t="str">
        <f aca="false">HYPERLINK("https://omim.org/entry/605249", "605249")</f>
        <v>605249</v>
      </c>
      <c r="K62" s="5" t="str">
        <f aca="false">HYPERLINK("https://omim.org/entry/153640", "153640")</f>
        <v>153640</v>
      </c>
      <c r="L62" s="5" t="str">
        <f aca="false">HYPERLINK("https://omim.org/entry/153650", "153650")</f>
        <v>153650</v>
      </c>
      <c r="M62" s="5" t="str">
        <f aca="false">HYPERLINK("https://omim.org/entry/153650", "153650")</f>
        <v>153650</v>
      </c>
      <c r="N62" s="5" t="str">
        <f aca="false">HYPERLINK("https://omim.org/entry/603622", "603622")</f>
        <v>603622</v>
      </c>
      <c r="O62" s="5" t="str">
        <f aca="false">HYPERLINK("https://omim.org/entry/600208", "600208")</f>
        <v>600208</v>
      </c>
    </row>
    <row r="63" s="5" customFormat="true" ht="15" hidden="false" customHeight="false" outlineLevel="0" collapsed="false">
      <c r="A63" s="5" t="s">
        <v>2659</v>
      </c>
      <c r="B63" s="5" t="s">
        <v>1343</v>
      </c>
      <c r="C63" s="5" t="s">
        <v>1344</v>
      </c>
      <c r="D63" s="5" t="s">
        <v>1345</v>
      </c>
      <c r="E63" s="5" t="s">
        <v>1346</v>
      </c>
      <c r="F63" s="5" t="s">
        <v>2660</v>
      </c>
      <c r="G63" s="5" t="s">
        <v>2661</v>
      </c>
      <c r="H63" s="5" t="s">
        <v>2662</v>
      </c>
      <c r="I63" s="5" t="str">
        <f aca="false">HYPERLINK("https://omim.org/entry/609628", "609628")</f>
        <v>609628</v>
      </c>
      <c r="J63" s="5" t="s">
        <v>46</v>
      </c>
      <c r="K63" s="5" t="s">
        <v>46</v>
      </c>
      <c r="L63" s="5" t="s">
        <v>46</v>
      </c>
      <c r="M63" s="5" t="s">
        <v>46</v>
      </c>
      <c r="N63" s="5" t="s">
        <v>46</v>
      </c>
      <c r="O63" s="5" t="s">
        <v>46</v>
      </c>
    </row>
    <row r="64" s="5" customFormat="true" ht="15" hidden="false" customHeight="false" outlineLevel="0" collapsed="false">
      <c r="A64" s="5" t="s">
        <v>2663</v>
      </c>
      <c r="B64" s="5" t="s">
        <v>2001</v>
      </c>
      <c r="C64" s="5" t="s">
        <v>2002</v>
      </c>
      <c r="D64" s="5" t="s">
        <v>2003</v>
      </c>
      <c r="E64" s="5" t="s">
        <v>2004</v>
      </c>
      <c r="F64" s="5" t="s">
        <v>2664</v>
      </c>
      <c r="G64" s="5" t="s">
        <v>2665</v>
      </c>
      <c r="H64" s="5" t="s">
        <v>2666</v>
      </c>
      <c r="I64" s="5" t="str">
        <f aca="false">HYPERLINK("https://omim.org/entry/600919", "600919")</f>
        <v>600919</v>
      </c>
      <c r="J64" s="5" t="s">
        <v>46</v>
      </c>
      <c r="K64" s="5" t="s">
        <v>46</v>
      </c>
      <c r="L64" s="5" t="s">
        <v>46</v>
      </c>
      <c r="M64" s="5" t="s">
        <v>46</v>
      </c>
      <c r="N64" s="5" t="s">
        <v>46</v>
      </c>
      <c r="O64" s="5" t="s">
        <v>46</v>
      </c>
    </row>
    <row r="65" s="5" customFormat="true" ht="15" hidden="false" customHeight="false" outlineLevel="0" collapsed="false">
      <c r="A65" s="5" t="s">
        <v>2667</v>
      </c>
      <c r="B65" s="5" t="s">
        <v>2161</v>
      </c>
      <c r="C65" s="5" t="s">
        <v>2162</v>
      </c>
      <c r="D65" s="5" t="s">
        <v>2163</v>
      </c>
      <c r="E65" s="5" t="s">
        <v>2164</v>
      </c>
      <c r="F65" s="5" t="s">
        <v>2668</v>
      </c>
      <c r="G65" s="5" t="s">
        <v>2669</v>
      </c>
      <c r="H65" s="5" t="s">
        <v>2670</v>
      </c>
      <c r="I65" s="5" t="str">
        <f aca="false">HYPERLINK("https://omim.org/entry/257320", "257320")</f>
        <v>257320</v>
      </c>
      <c r="J65" s="5" t="str">
        <f aca="false">HYPERLINK("https://omim.org/entry/616436", "616436")</f>
        <v>616436</v>
      </c>
      <c r="K65" s="5" t="s">
        <v>46</v>
      </c>
      <c r="L65" s="5" t="s">
        <v>46</v>
      </c>
      <c r="M65" s="5" t="s">
        <v>46</v>
      </c>
      <c r="N65" s="5" t="s">
        <v>46</v>
      </c>
      <c r="O65" s="5" t="s">
        <v>46</v>
      </c>
    </row>
    <row r="66" s="5" customFormat="true" ht="15" hidden="false" customHeight="false" outlineLevel="0" collapsed="false">
      <c r="A66" s="5" t="s">
        <v>2671</v>
      </c>
      <c r="B66" s="5" t="s">
        <v>2140</v>
      </c>
      <c r="C66" s="5" t="s">
        <v>2141</v>
      </c>
      <c r="D66" s="5" t="s">
        <v>2142</v>
      </c>
      <c r="E66" s="5" t="s">
        <v>2143</v>
      </c>
      <c r="F66" s="5" t="s">
        <v>2672</v>
      </c>
      <c r="G66" s="5" t="s">
        <v>46</v>
      </c>
      <c r="H66" s="5" t="s">
        <v>46</v>
      </c>
      <c r="I66" s="5" t="str">
        <f aca="false">HYPERLINK("https://omim.org/entry/610532", "610532")</f>
        <v>610532</v>
      </c>
      <c r="J66" s="5" t="s">
        <v>46</v>
      </c>
      <c r="K66" s="5" t="s">
        <v>46</v>
      </c>
      <c r="L66" s="5" t="s">
        <v>46</v>
      </c>
      <c r="M66" s="5" t="s">
        <v>46</v>
      </c>
      <c r="N66" s="5" t="s">
        <v>46</v>
      </c>
      <c r="O66" s="5" t="s">
        <v>46</v>
      </c>
    </row>
    <row r="67" s="5" customFormat="true" ht="15" hidden="false" customHeight="false" outlineLevel="0" collapsed="false">
      <c r="A67" s="5" t="s">
        <v>2673</v>
      </c>
      <c r="B67" s="5" t="s">
        <v>1038</v>
      </c>
      <c r="C67" s="5" t="s">
        <v>1039</v>
      </c>
      <c r="D67" s="5" t="s">
        <v>1040</v>
      </c>
      <c r="E67" s="5" t="s">
        <v>1041</v>
      </c>
      <c r="F67" s="5" t="s">
        <v>46</v>
      </c>
      <c r="G67" s="5" t="s">
        <v>2674</v>
      </c>
      <c r="H67" s="5" t="s">
        <v>2675</v>
      </c>
      <c r="I67" s="5" t="str">
        <f aca="false">HYPERLINK("https://omim.org/entry/603896", "603896")</f>
        <v>603896</v>
      </c>
      <c r="J67" s="5" t="s">
        <v>46</v>
      </c>
      <c r="K67" s="5" t="s">
        <v>46</v>
      </c>
      <c r="L67" s="5" t="s">
        <v>46</v>
      </c>
      <c r="M67" s="5" t="s">
        <v>46</v>
      </c>
      <c r="N67" s="5" t="s">
        <v>46</v>
      </c>
      <c r="O67" s="5" t="s">
        <v>46</v>
      </c>
    </row>
    <row r="68" s="5" customFormat="true" ht="15" hidden="false" customHeight="false" outlineLevel="0" collapsed="false">
      <c r="A68" s="5" t="s">
        <v>2676</v>
      </c>
      <c r="B68" s="5" t="s">
        <v>835</v>
      </c>
      <c r="C68" s="5" t="s">
        <v>836</v>
      </c>
      <c r="D68" s="5" t="s">
        <v>837</v>
      </c>
      <c r="E68" s="5" t="s">
        <v>838</v>
      </c>
      <c r="F68" s="5" t="s">
        <v>46</v>
      </c>
      <c r="G68" s="5" t="s">
        <v>2677</v>
      </c>
      <c r="H68" s="5" t="s">
        <v>2678</v>
      </c>
      <c r="I68" s="5" t="str">
        <f aca="false">HYPERLINK("https://omim.org/entry/240800", "240800")</f>
        <v>240800</v>
      </c>
      <c r="J68" s="5" t="str">
        <f aca="false">HYPERLINK("https://omim.org/entry/256450", "256450")</f>
        <v>256450</v>
      </c>
      <c r="K68" s="5" t="str">
        <f aca="false">HYPERLINK("https://omim.org/entry/606176", "606176")</f>
        <v>606176</v>
      </c>
      <c r="L68" s="5" t="str">
        <f aca="false">HYPERLINK("https://omim.org/entry/610374", "610374")</f>
        <v>610374</v>
      </c>
      <c r="M68" s="5" t="s">
        <v>46</v>
      </c>
      <c r="N68" s="5" t="s">
        <v>46</v>
      </c>
      <c r="O68" s="5" t="s">
        <v>46</v>
      </c>
    </row>
    <row r="69" s="5" customFormat="true" ht="15" hidden="false" customHeight="false" outlineLevel="0" collapsed="false">
      <c r="A69" s="5" t="s">
        <v>2679</v>
      </c>
      <c r="B69" s="5" t="s">
        <v>2343</v>
      </c>
      <c r="C69" s="5" t="s">
        <v>2680</v>
      </c>
      <c r="D69" s="5" t="s">
        <v>2345</v>
      </c>
      <c r="E69" s="5" t="s">
        <v>2346</v>
      </c>
      <c r="F69" s="5" t="s">
        <v>46</v>
      </c>
      <c r="G69" s="5" t="s">
        <v>2681</v>
      </c>
      <c r="H69" s="5" t="s">
        <v>2682</v>
      </c>
      <c r="I69" s="5" t="str">
        <f aca="false">HYPERLINK("https://omim.org/entry/253310", "253310")</f>
        <v>253310</v>
      </c>
      <c r="J69" s="5" t="str">
        <f aca="false">HYPERLINK("https://omim.org/entry/611890", "611890")</f>
        <v>611890</v>
      </c>
      <c r="K69" s="5" t="s">
        <v>46</v>
      </c>
      <c r="L69" s="5" t="s">
        <v>46</v>
      </c>
      <c r="M69" s="5" t="s">
        <v>46</v>
      </c>
      <c r="N69" s="5" t="s">
        <v>46</v>
      </c>
      <c r="O69" s="5" t="s">
        <v>46</v>
      </c>
    </row>
    <row r="70" s="5" customFormat="true" ht="15" hidden="false" customHeight="false" outlineLevel="0" collapsed="false">
      <c r="A70" s="5" t="s">
        <v>2683</v>
      </c>
      <c r="B70" s="5" t="s">
        <v>1392</v>
      </c>
      <c r="C70" s="5" t="s">
        <v>1393</v>
      </c>
      <c r="D70" s="5" t="s">
        <v>1394</v>
      </c>
      <c r="E70" s="5" t="s">
        <v>1395</v>
      </c>
      <c r="F70" s="5" t="s">
        <v>46</v>
      </c>
      <c r="G70" s="5" t="s">
        <v>2684</v>
      </c>
      <c r="H70" s="5" t="s">
        <v>2685</v>
      </c>
      <c r="I70" s="5" t="str">
        <f aca="false">HYPERLINK("https://omim.org/entry/256000", "256000")</f>
        <v>256000</v>
      </c>
      <c r="J70" s="5" t="str">
        <f aca="false">HYPERLINK("https://omim.org/entry/252010", "252010")</f>
        <v>252010</v>
      </c>
      <c r="K70" s="5" t="s">
        <v>46</v>
      </c>
      <c r="L70" s="5" t="s">
        <v>46</v>
      </c>
      <c r="M70" s="5" t="s">
        <v>46</v>
      </c>
      <c r="N70" s="5" t="s">
        <v>46</v>
      </c>
      <c r="O70" s="5" t="s">
        <v>46</v>
      </c>
    </row>
    <row r="71" s="5" customFormat="true" ht="15" hidden="false" customHeight="false" outlineLevel="0" collapsed="false">
      <c r="A71" s="5" t="s">
        <v>2686</v>
      </c>
      <c r="B71" s="5" t="s">
        <v>2391</v>
      </c>
      <c r="C71" s="5" t="s">
        <v>2392</v>
      </c>
      <c r="D71" s="5" t="s">
        <v>2393</v>
      </c>
      <c r="E71" s="5" t="s">
        <v>2394</v>
      </c>
      <c r="F71" s="5" t="s">
        <v>2687</v>
      </c>
      <c r="G71" s="5" t="s">
        <v>2688</v>
      </c>
      <c r="H71" s="5" t="s">
        <v>2689</v>
      </c>
      <c r="I71" s="5" t="str">
        <f aca="false">HYPERLINK("https://omim.org/entry/610253", "610253")</f>
        <v>610253</v>
      </c>
      <c r="J71" s="5" t="s">
        <v>46</v>
      </c>
      <c r="K71" s="5" t="s">
        <v>46</v>
      </c>
      <c r="L71" s="5" t="s">
        <v>46</v>
      </c>
      <c r="M71" s="5" t="s">
        <v>46</v>
      </c>
      <c r="N71" s="5" t="s">
        <v>46</v>
      </c>
      <c r="O71" s="5" t="s">
        <v>46</v>
      </c>
    </row>
    <row r="72" s="5" customFormat="true" ht="15" hidden="false" customHeight="false" outlineLevel="0" collapsed="false">
      <c r="A72" s="5" t="s">
        <v>2690</v>
      </c>
      <c r="B72" s="5" t="s">
        <v>923</v>
      </c>
      <c r="C72" s="5" t="s">
        <v>924</v>
      </c>
      <c r="D72" s="5" t="s">
        <v>925</v>
      </c>
      <c r="E72" s="5" t="s">
        <v>926</v>
      </c>
      <c r="F72" s="5" t="s">
        <v>46</v>
      </c>
      <c r="G72" s="5" t="s">
        <v>2691</v>
      </c>
      <c r="H72" s="5" t="s">
        <v>2692</v>
      </c>
      <c r="I72" s="5" t="str">
        <f aca="false">HYPERLINK("https://omim.org/entry/600231", "600231")</f>
        <v>600231</v>
      </c>
      <c r="J72" s="5" t="s">
        <v>46</v>
      </c>
      <c r="K72" s="5" t="s">
        <v>46</v>
      </c>
      <c r="L72" s="5" t="s">
        <v>46</v>
      </c>
      <c r="M72" s="5" t="s">
        <v>46</v>
      </c>
      <c r="N72" s="5" t="s">
        <v>46</v>
      </c>
      <c r="O72" s="5" t="s">
        <v>46</v>
      </c>
    </row>
    <row r="73" s="5" customFormat="true" ht="15" hidden="false" customHeight="false" outlineLevel="0" collapsed="false">
      <c r="A73" s="5" t="s">
        <v>2693</v>
      </c>
      <c r="B73" s="5" t="s">
        <v>917</v>
      </c>
      <c r="C73" s="5" t="s">
        <v>918</v>
      </c>
      <c r="D73" s="5" t="s">
        <v>919</v>
      </c>
      <c r="E73" s="5" t="s">
        <v>920</v>
      </c>
      <c r="F73" s="5" t="s">
        <v>2694</v>
      </c>
      <c r="G73" s="5" t="s">
        <v>46</v>
      </c>
      <c r="H73" s="5" t="s">
        <v>46</v>
      </c>
      <c r="I73" s="5" t="str">
        <f aca="false">HYPERLINK("https://omim.org/entry/147920", "147920")</f>
        <v>147920</v>
      </c>
      <c r="J73" s="5" t="s">
        <v>46</v>
      </c>
      <c r="K73" s="5" t="s">
        <v>46</v>
      </c>
      <c r="L73" s="5" t="s">
        <v>46</v>
      </c>
      <c r="M73" s="5" t="s">
        <v>46</v>
      </c>
      <c r="N73" s="5" t="s">
        <v>46</v>
      </c>
      <c r="O73" s="5" t="s">
        <v>46</v>
      </c>
    </row>
    <row r="74" s="5" customFormat="true" ht="15" hidden="false" customHeight="false" outlineLevel="0" collapsed="false">
      <c r="A74" s="5" t="s">
        <v>2695</v>
      </c>
      <c r="B74" s="5" t="s">
        <v>192</v>
      </c>
      <c r="C74" s="5" t="s">
        <v>193</v>
      </c>
      <c r="D74" s="5" t="s">
        <v>194</v>
      </c>
      <c r="E74" s="5" t="s">
        <v>195</v>
      </c>
      <c r="F74" s="5" t="s">
        <v>46</v>
      </c>
      <c r="G74" s="5" t="s">
        <v>2696</v>
      </c>
      <c r="H74" s="5" t="s">
        <v>2697</v>
      </c>
      <c r="I74" s="5" t="str">
        <f aca="false">HYPERLINK("https://omim.org/entry/608747", "608747")</f>
        <v>608747</v>
      </c>
      <c r="J74" s="5" t="s">
        <v>46</v>
      </c>
      <c r="K74" s="5" t="s">
        <v>46</v>
      </c>
      <c r="L74" s="5" t="s">
        <v>46</v>
      </c>
      <c r="M74" s="5" t="s">
        <v>46</v>
      </c>
      <c r="N74" s="5" t="s">
        <v>46</v>
      </c>
      <c r="O74" s="5" t="s">
        <v>46</v>
      </c>
    </row>
    <row r="75" s="5" customFormat="true" ht="15" hidden="false" customHeight="false" outlineLevel="0" collapsed="false">
      <c r="A75" s="5" t="s">
        <v>2698</v>
      </c>
      <c r="B75" s="5" t="s">
        <v>211</v>
      </c>
      <c r="C75" s="5" t="s">
        <v>212</v>
      </c>
      <c r="D75" s="5" t="s">
        <v>213</v>
      </c>
      <c r="E75" s="5" t="s">
        <v>214</v>
      </c>
      <c r="F75" s="5" t="s">
        <v>2699</v>
      </c>
      <c r="G75" s="5" t="s">
        <v>2700</v>
      </c>
      <c r="H75" s="5" t="s">
        <v>2701</v>
      </c>
      <c r="I75" s="5" t="str">
        <f aca="false">HYPERLINK("https://omim.org/entry/270450", "270450")</f>
        <v>270450</v>
      </c>
      <c r="J75" s="5" t="s">
        <v>46</v>
      </c>
      <c r="K75" s="5" t="s">
        <v>46</v>
      </c>
      <c r="L75" s="5" t="s">
        <v>46</v>
      </c>
      <c r="M75" s="5" t="s">
        <v>46</v>
      </c>
      <c r="N75" s="5" t="s">
        <v>46</v>
      </c>
      <c r="O75" s="5" t="s">
        <v>46</v>
      </c>
    </row>
    <row r="76" s="5" customFormat="true" ht="15" hidden="false" customHeight="false" outlineLevel="0" collapsed="false">
      <c r="A76" s="5" t="s">
        <v>2702</v>
      </c>
      <c r="B76" s="5" t="s">
        <v>1721</v>
      </c>
      <c r="C76" s="5" t="s">
        <v>1722</v>
      </c>
      <c r="D76" s="5" t="s">
        <v>1723</v>
      </c>
      <c r="E76" s="5" t="s">
        <v>1724</v>
      </c>
      <c r="F76" s="5" t="s">
        <v>46</v>
      </c>
      <c r="G76" s="5" t="s">
        <v>2703</v>
      </c>
      <c r="H76" s="5" t="s">
        <v>2704</v>
      </c>
      <c r="I76" s="5" t="str">
        <f aca="false">HYPERLINK("https://omim.org/entry/612567", "612567")</f>
        <v>612567</v>
      </c>
      <c r="J76" s="5" t="s">
        <v>46</v>
      </c>
      <c r="K76" s="5" t="s">
        <v>46</v>
      </c>
      <c r="L76" s="5" t="s">
        <v>46</v>
      </c>
      <c r="M76" s="5" t="s">
        <v>46</v>
      </c>
      <c r="N76" s="5" t="s">
        <v>46</v>
      </c>
      <c r="O76" s="5" t="s">
        <v>46</v>
      </c>
    </row>
    <row r="77" s="5" customFormat="true" ht="15" hidden="false" customHeight="false" outlineLevel="0" collapsed="false">
      <c r="A77" s="5" t="s">
        <v>2705</v>
      </c>
      <c r="B77" s="5" t="s">
        <v>1011</v>
      </c>
      <c r="C77" s="5" t="s">
        <v>1012</v>
      </c>
      <c r="D77" s="5" t="s">
        <v>1013</v>
      </c>
      <c r="E77" s="5" t="s">
        <v>1014</v>
      </c>
      <c r="F77" s="5" t="s">
        <v>46</v>
      </c>
      <c r="G77" s="5" t="s">
        <v>2706</v>
      </c>
      <c r="H77" s="5" t="s">
        <v>2707</v>
      </c>
      <c r="I77" s="5" t="str">
        <f aca="false">HYPERLINK("https://omim.org/entry/615419", "615419")</f>
        <v>615419</v>
      </c>
      <c r="J77" s="5" t="str">
        <f aca="false">HYPERLINK("https://omim.org/entry/616266", "616266")</f>
        <v>616266</v>
      </c>
      <c r="K77" s="5" t="s">
        <v>46</v>
      </c>
      <c r="L77" s="5" t="s">
        <v>46</v>
      </c>
      <c r="M77" s="5" t="s">
        <v>46</v>
      </c>
      <c r="N77" s="5" t="s">
        <v>46</v>
      </c>
      <c r="O77" s="5" t="s">
        <v>46</v>
      </c>
    </row>
    <row r="78" s="5" customFormat="true" ht="15" hidden="false" customHeight="false" outlineLevel="0" collapsed="false">
      <c r="A78" s="5" t="s">
        <v>2708</v>
      </c>
      <c r="B78" s="5" t="s">
        <v>680</v>
      </c>
      <c r="C78" s="5" t="s">
        <v>2709</v>
      </c>
      <c r="D78" s="5" t="s">
        <v>682</v>
      </c>
      <c r="E78" s="5" t="s">
        <v>683</v>
      </c>
      <c r="F78" s="5" t="s">
        <v>2710</v>
      </c>
      <c r="G78" s="5" t="s">
        <v>2711</v>
      </c>
      <c r="H78" s="5" t="s">
        <v>2712</v>
      </c>
      <c r="I78" s="5" t="str">
        <f aca="false">HYPERLINK("https://omim.org/entry/613280", "613280")</f>
        <v>613280</v>
      </c>
      <c r="J78" s="5" t="s">
        <v>46</v>
      </c>
      <c r="K78" s="5" t="s">
        <v>46</v>
      </c>
      <c r="L78" s="5" t="s">
        <v>46</v>
      </c>
      <c r="M78" s="5" t="s">
        <v>46</v>
      </c>
      <c r="N78" s="5" t="s">
        <v>46</v>
      </c>
      <c r="O78" s="5" t="s">
        <v>46</v>
      </c>
    </row>
    <row r="79" s="5" customFormat="true" ht="15" hidden="false" customHeight="false" outlineLevel="0" collapsed="false">
      <c r="A79" s="5" t="s">
        <v>2713</v>
      </c>
      <c r="B79" s="5" t="s">
        <v>1569</v>
      </c>
      <c r="C79" s="5" t="s">
        <v>1570</v>
      </c>
      <c r="D79" s="5" t="s">
        <v>1571</v>
      </c>
      <c r="E79" s="5" t="s">
        <v>1572</v>
      </c>
      <c r="F79" s="5" t="s">
        <v>2714</v>
      </c>
      <c r="G79" s="5" t="s">
        <v>2715</v>
      </c>
      <c r="H79" s="5" t="s">
        <v>2716</v>
      </c>
      <c r="I79" s="5" t="str">
        <f aca="false">HYPERLINK("https://omim.org/entry/610829", "610829")</f>
        <v>610829</v>
      </c>
      <c r="J79" s="5" t="str">
        <f aca="false">HYPERLINK("https://omim.org/entry/615849", "615849")</f>
        <v>615849</v>
      </c>
      <c r="K79" s="5" t="s">
        <v>46</v>
      </c>
      <c r="L79" s="5" t="s">
        <v>46</v>
      </c>
      <c r="M79" s="5" t="s">
        <v>46</v>
      </c>
      <c r="N79" s="5" t="s">
        <v>46</v>
      </c>
      <c r="O79" s="5" t="s">
        <v>46</v>
      </c>
    </row>
    <row r="80" s="5" customFormat="true" ht="15" hidden="false" customHeight="false" outlineLevel="0" collapsed="false">
      <c r="A80" s="5" t="s">
        <v>2717</v>
      </c>
      <c r="B80" s="5" t="s">
        <v>898</v>
      </c>
      <c r="C80" s="5" t="s">
        <v>899</v>
      </c>
      <c r="D80" s="5" t="s">
        <v>900</v>
      </c>
      <c r="E80" s="5" t="s">
        <v>901</v>
      </c>
      <c r="F80" s="5" t="s">
        <v>46</v>
      </c>
      <c r="G80" s="5" t="s">
        <v>2718</v>
      </c>
      <c r="H80" s="5" t="s">
        <v>2719</v>
      </c>
      <c r="I80" s="5" t="str">
        <f aca="false">HYPERLINK("https://omim.org/entry/614226", "614226")</f>
        <v>614226</v>
      </c>
      <c r="J80" s="5" t="s">
        <v>46</v>
      </c>
      <c r="K80" s="5" t="s">
        <v>46</v>
      </c>
      <c r="L80" s="5" t="s">
        <v>46</v>
      </c>
      <c r="M80" s="5" t="s">
        <v>46</v>
      </c>
      <c r="N80" s="5" t="s">
        <v>46</v>
      </c>
      <c r="O80" s="5" t="s">
        <v>46</v>
      </c>
    </row>
    <row r="81" s="5" customFormat="true" ht="15" hidden="false" customHeight="false" outlineLevel="0" collapsed="false">
      <c r="A81" s="5" t="s">
        <v>2720</v>
      </c>
      <c r="B81" s="5" t="s">
        <v>1885</v>
      </c>
      <c r="C81" s="5" t="s">
        <v>1886</v>
      </c>
      <c r="D81" s="5" t="s">
        <v>1887</v>
      </c>
      <c r="E81" s="5" t="s">
        <v>1888</v>
      </c>
      <c r="F81" s="5" t="s">
        <v>2721</v>
      </c>
      <c r="G81" s="5" t="s">
        <v>2722</v>
      </c>
      <c r="H81" s="5" t="s">
        <v>2723</v>
      </c>
      <c r="I81" s="5" t="str">
        <f aca="false">HYPERLINK("https://omim.org/entry/228960", "228960")</f>
        <v>228960</v>
      </c>
      <c r="J81" s="5" t="s">
        <v>46</v>
      </c>
      <c r="K81" s="5" t="s">
        <v>46</v>
      </c>
      <c r="L81" s="5" t="s">
        <v>46</v>
      </c>
      <c r="M81" s="5" t="s">
        <v>46</v>
      </c>
      <c r="N81" s="5" t="s">
        <v>46</v>
      </c>
      <c r="O81" s="5" t="s">
        <v>46</v>
      </c>
    </row>
    <row r="82" s="5" customFormat="true" ht="15" hidden="false" customHeight="false" outlineLevel="0" collapsed="false">
      <c r="A82" s="5" t="s">
        <v>2724</v>
      </c>
      <c r="B82" s="5" t="s">
        <v>1599</v>
      </c>
      <c r="C82" s="5" t="s">
        <v>1606</v>
      </c>
      <c r="D82" s="5" t="s">
        <v>1601</v>
      </c>
      <c r="E82" s="5" t="s">
        <v>1602</v>
      </c>
      <c r="F82" s="5" t="s">
        <v>2725</v>
      </c>
      <c r="G82" s="5" t="s">
        <v>2726</v>
      </c>
      <c r="H82" s="5" t="s">
        <v>2727</v>
      </c>
      <c r="I82" s="5" t="str">
        <f aca="false">HYPERLINK("https://omim.org/entry/603689", "603689")</f>
        <v>603689</v>
      </c>
      <c r="J82" s="5" t="str">
        <f aca="false">HYPERLINK("https://omim.org/entry/613765", "613765")</f>
        <v>613765</v>
      </c>
      <c r="K82" s="5" t="str">
        <f aca="false">HYPERLINK("https://omim.org/entry/604145", "604145")</f>
        <v>604145</v>
      </c>
      <c r="L82" s="5" t="str">
        <f aca="false">HYPERLINK("https://omim.org/entry/600334", "600334")</f>
        <v>600334</v>
      </c>
      <c r="M82" s="5" t="str">
        <f aca="false">HYPERLINK("https://omim.org/entry/608807", "608807")</f>
        <v>608807</v>
      </c>
      <c r="N82" s="5" t="str">
        <f aca="false">HYPERLINK("https://omim.org/entry/611705", "611705")</f>
        <v>611705</v>
      </c>
      <c r="O82" s="5" t="s">
        <v>46</v>
      </c>
    </row>
    <row r="83" s="5" customFormat="true" ht="15" hidden="false" customHeight="false" outlineLevel="0" collapsed="false">
      <c r="A83" s="5" t="s">
        <v>2728</v>
      </c>
      <c r="B83" s="5" t="s">
        <v>2332</v>
      </c>
      <c r="C83" s="5" t="s">
        <v>2333</v>
      </c>
      <c r="D83" s="5" t="s">
        <v>2334</v>
      </c>
      <c r="E83" s="5" t="s">
        <v>2335</v>
      </c>
      <c r="F83" s="5" t="s">
        <v>46</v>
      </c>
      <c r="G83" s="5" t="s">
        <v>2729</v>
      </c>
      <c r="H83" s="5" t="s">
        <v>2730</v>
      </c>
      <c r="I83" s="5" t="str">
        <f aca="false">HYPERLINK("https://omim.org/entry/612631", "612631")</f>
        <v>612631</v>
      </c>
      <c r="J83" s="5" t="s">
        <v>46</v>
      </c>
      <c r="K83" s="5" t="s">
        <v>46</v>
      </c>
      <c r="L83" s="5" t="s">
        <v>46</v>
      </c>
      <c r="M83" s="5" t="s">
        <v>46</v>
      </c>
      <c r="N83" s="5" t="s">
        <v>46</v>
      </c>
      <c r="O83" s="5" t="s">
        <v>46</v>
      </c>
    </row>
    <row r="84" s="5" customFormat="true" ht="15" hidden="false" customHeight="false" outlineLevel="0" collapsed="false">
      <c r="A84" s="5" t="s">
        <v>2731</v>
      </c>
      <c r="B84" s="5" t="s">
        <v>1950</v>
      </c>
      <c r="C84" s="5" t="s">
        <v>1951</v>
      </c>
      <c r="D84" s="5" t="s">
        <v>1952</v>
      </c>
      <c r="E84" s="5" t="s">
        <v>1953</v>
      </c>
      <c r="F84" s="5" t="s">
        <v>2732</v>
      </c>
      <c r="G84" s="5" t="s">
        <v>2733</v>
      </c>
      <c r="H84" s="5" t="s">
        <v>2734</v>
      </c>
      <c r="I84" s="5" t="str">
        <f aca="false">HYPERLINK("https://omim.org/entry/602089", "602089")</f>
        <v>602089</v>
      </c>
      <c r="J84" s="5" t="s">
        <v>46</v>
      </c>
      <c r="K84" s="5" t="s">
        <v>46</v>
      </c>
      <c r="L84" s="5" t="s">
        <v>46</v>
      </c>
      <c r="M84" s="5" t="s">
        <v>46</v>
      </c>
      <c r="N84" s="5" t="s">
        <v>46</v>
      </c>
      <c r="O84" s="5" t="s">
        <v>46</v>
      </c>
    </row>
    <row r="85" s="5" customFormat="true" ht="15" hidden="false" customHeight="false" outlineLevel="0" collapsed="false">
      <c r="A85" s="5" t="s">
        <v>2735</v>
      </c>
      <c r="B85" s="5" t="s">
        <v>1219</v>
      </c>
      <c r="C85" s="5" t="s">
        <v>1220</v>
      </c>
      <c r="D85" s="5" t="s">
        <v>1221</v>
      </c>
      <c r="E85" s="5" t="s">
        <v>1222</v>
      </c>
      <c r="F85" s="5" t="s">
        <v>2736</v>
      </c>
      <c r="G85" s="5" t="s">
        <v>2737</v>
      </c>
      <c r="H85" s="5" t="s">
        <v>2738</v>
      </c>
      <c r="I85" s="5" t="str">
        <f aca="false">HYPERLINK("https://omim.org/entry/612938", "612938")</f>
        <v>612938</v>
      </c>
      <c r="J85" s="5" t="str">
        <f aca="false">HYPERLINK("https://omim.org/entry/601665", "601665")</f>
        <v>601665</v>
      </c>
      <c r="K85" s="5" t="s">
        <v>46</v>
      </c>
      <c r="L85" s="5" t="s">
        <v>46</v>
      </c>
      <c r="M85" s="5" t="s">
        <v>46</v>
      </c>
      <c r="N85" s="5" t="s">
        <v>46</v>
      </c>
      <c r="O85" s="5" t="s">
        <v>46</v>
      </c>
    </row>
    <row r="86" s="5" customFormat="true" ht="15" hidden="false" customHeight="false" outlineLevel="0" collapsed="false">
      <c r="A86" s="5" t="s">
        <v>2739</v>
      </c>
      <c r="B86" s="5" t="s">
        <v>52</v>
      </c>
      <c r="C86" s="5" t="s">
        <v>53</v>
      </c>
      <c r="D86" s="5" t="s">
        <v>54</v>
      </c>
      <c r="E86" s="5" t="s">
        <v>55</v>
      </c>
      <c r="F86" s="5" t="s">
        <v>2740</v>
      </c>
      <c r="G86" s="5" t="s">
        <v>46</v>
      </c>
      <c r="H86" s="5" t="s">
        <v>46</v>
      </c>
      <c r="I86" s="5" t="str">
        <f aca="false">HYPERLINK("https://omim.org/entry/175700", "175700")</f>
        <v>175700</v>
      </c>
      <c r="J86" s="5" t="str">
        <f aca="false">HYPERLINK("https://omim.org/entry/146510", "146510")</f>
        <v>146510</v>
      </c>
      <c r="K86" s="5" t="str">
        <f aca="false">HYPERLINK("https://omim.org/entry/174200", "174200")</f>
        <v>174200</v>
      </c>
      <c r="L86" s="5" t="str">
        <f aca="false">HYPERLINK("https://omim.org/entry/174200", "174200")</f>
        <v>174200</v>
      </c>
      <c r="M86" s="5" t="str">
        <f aca="false">HYPERLINK("https://omim.org/entry/174700", "174700")</f>
        <v>174700</v>
      </c>
      <c r="N86" s="5" t="s">
        <v>46</v>
      </c>
      <c r="O86" s="5" t="s">
        <v>46</v>
      </c>
    </row>
    <row r="87" s="5" customFormat="true" ht="15" hidden="false" customHeight="false" outlineLevel="0" collapsed="false">
      <c r="A87" s="5" t="s">
        <v>2741</v>
      </c>
      <c r="B87" s="5" t="s">
        <v>1781</v>
      </c>
      <c r="C87" s="5" t="s">
        <v>1782</v>
      </c>
      <c r="D87" s="5" t="s">
        <v>1783</v>
      </c>
      <c r="E87" s="5" t="s">
        <v>1784</v>
      </c>
      <c r="F87" s="5" t="s">
        <v>2742</v>
      </c>
      <c r="G87" s="5" t="s">
        <v>2743</v>
      </c>
      <c r="H87" s="5" t="s">
        <v>2744</v>
      </c>
      <c r="I87" s="5" t="str">
        <f aca="false">HYPERLINK("https://omim.org/entry/613960", "613960")</f>
        <v>613960</v>
      </c>
      <c r="J87" s="5" t="s">
        <v>46</v>
      </c>
      <c r="K87" s="5" t="s">
        <v>46</v>
      </c>
      <c r="L87" s="5" t="s">
        <v>46</v>
      </c>
      <c r="M87" s="5" t="s">
        <v>46</v>
      </c>
      <c r="N87" s="5" t="s">
        <v>46</v>
      </c>
      <c r="O87" s="5" t="s">
        <v>46</v>
      </c>
    </row>
    <row r="88" s="5" customFormat="true" ht="15" hidden="false" customHeight="false" outlineLevel="0" collapsed="false">
      <c r="A88" s="5" t="s">
        <v>2745</v>
      </c>
      <c r="B88" s="5" t="s">
        <v>1755</v>
      </c>
      <c r="C88" s="5" t="s">
        <v>1756</v>
      </c>
      <c r="D88" s="5" t="s">
        <v>1757</v>
      </c>
      <c r="E88" s="5" t="s">
        <v>1758</v>
      </c>
      <c r="F88" s="5" t="s">
        <v>2746</v>
      </c>
      <c r="G88" s="5" t="s">
        <v>2747</v>
      </c>
      <c r="H88" s="5" t="s">
        <v>46</v>
      </c>
      <c r="I88" s="5" t="str">
        <f aca="false">HYPERLINK("https://omim.org/entry/231950", "231950")</f>
        <v>231950</v>
      </c>
      <c r="J88" s="5" t="s">
        <v>46</v>
      </c>
      <c r="K88" s="5" t="s">
        <v>46</v>
      </c>
      <c r="L88" s="5" t="s">
        <v>46</v>
      </c>
      <c r="M88" s="5" t="s">
        <v>46</v>
      </c>
      <c r="N88" s="5" t="s">
        <v>46</v>
      </c>
      <c r="O88" s="5" t="s">
        <v>46</v>
      </c>
    </row>
    <row r="89" s="5" customFormat="true" ht="15" hidden="false" customHeight="false" outlineLevel="0" collapsed="false">
      <c r="A89" s="5" t="s">
        <v>2748</v>
      </c>
      <c r="B89" s="5" t="s">
        <v>237</v>
      </c>
      <c r="C89" s="5" t="s">
        <v>238</v>
      </c>
      <c r="D89" s="5" t="s">
        <v>239</v>
      </c>
      <c r="E89" s="5" t="s">
        <v>240</v>
      </c>
      <c r="F89" s="5" t="s">
        <v>2749</v>
      </c>
      <c r="G89" s="5" t="s">
        <v>2750</v>
      </c>
      <c r="H89" s="5" t="s">
        <v>2751</v>
      </c>
      <c r="I89" s="5" t="str">
        <f aca="false">HYPERLINK("https://omim.org/entry/273800", "273800")</f>
        <v>273800</v>
      </c>
      <c r="J89" s="5" t="str">
        <f aca="false">HYPERLINK("https://omim.org/entry/187800", "187800")</f>
        <v>187800</v>
      </c>
      <c r="K89" s="5" t="s">
        <v>46</v>
      </c>
      <c r="L89" s="5" t="s">
        <v>46</v>
      </c>
      <c r="M89" s="5" t="s">
        <v>46</v>
      </c>
      <c r="N89" s="5" t="s">
        <v>46</v>
      </c>
      <c r="O89" s="5" t="s">
        <v>46</v>
      </c>
    </row>
    <row r="90" s="5" customFormat="true" ht="15" hidden="false" customHeight="false" outlineLevel="0" collapsed="false">
      <c r="A90" s="5" t="s">
        <v>2752</v>
      </c>
      <c r="B90" s="5" t="s">
        <v>2369</v>
      </c>
      <c r="C90" s="5" t="s">
        <v>2370</v>
      </c>
      <c r="D90" s="5" t="s">
        <v>46</v>
      </c>
      <c r="E90" s="5" t="s">
        <v>2371</v>
      </c>
      <c r="F90" s="5" t="s">
        <v>46</v>
      </c>
      <c r="G90" s="5" t="s">
        <v>2753</v>
      </c>
      <c r="H90" s="5" t="s">
        <v>2754</v>
      </c>
      <c r="I90" s="5" t="str">
        <f aca="false">HYPERLINK("https://omim.org/entry/231050", "231050")</f>
        <v>231050</v>
      </c>
      <c r="J90" s="5" t="s">
        <v>46</v>
      </c>
      <c r="K90" s="5" t="s">
        <v>46</v>
      </c>
      <c r="L90" s="5" t="s">
        <v>46</v>
      </c>
      <c r="M90" s="5" t="s">
        <v>46</v>
      </c>
      <c r="N90" s="5" t="s">
        <v>46</v>
      </c>
      <c r="O90" s="5" t="s">
        <v>46</v>
      </c>
    </row>
    <row r="91" s="5" customFormat="true" ht="15" hidden="false" customHeight="false" outlineLevel="0" collapsed="false">
      <c r="A91" s="5" t="s">
        <v>2755</v>
      </c>
      <c r="B91" s="5" t="s">
        <v>616</v>
      </c>
      <c r="C91" s="5" t="s">
        <v>617</v>
      </c>
      <c r="D91" s="5" t="s">
        <v>618</v>
      </c>
      <c r="E91" s="5" t="s">
        <v>619</v>
      </c>
      <c r="F91" s="5" t="s">
        <v>2756</v>
      </c>
      <c r="G91" s="5" t="s">
        <v>46</v>
      </c>
      <c r="H91" s="5" t="s">
        <v>46</v>
      </c>
      <c r="I91" s="5" t="str">
        <f aca="false">HYPERLINK("https://omim.org/entry/248200", "248200")</f>
        <v>248200</v>
      </c>
      <c r="J91" s="5" t="str">
        <f aca="false">HYPERLINK("https://omim.org/entry/153800", "153800")</f>
        <v>153800</v>
      </c>
      <c r="K91" s="5" t="str">
        <f aca="false">HYPERLINK("https://omim.org/entry/604116", "604116")</f>
        <v>604116</v>
      </c>
      <c r="L91" s="5" t="str">
        <f aca="false">HYPERLINK("https://omim.org/entry/601718", "601718")</f>
        <v>601718</v>
      </c>
      <c r="M91" s="5" t="s">
        <v>46</v>
      </c>
      <c r="N91" s="5" t="s">
        <v>46</v>
      </c>
      <c r="O91" s="5" t="s">
        <v>46</v>
      </c>
    </row>
    <row r="92" s="5" customFormat="true" ht="15" hidden="false" customHeight="false" outlineLevel="0" collapsed="false">
      <c r="A92" s="5" t="s">
        <v>2757</v>
      </c>
      <c r="B92" s="5" t="s">
        <v>479</v>
      </c>
      <c r="C92" s="5" t="s">
        <v>480</v>
      </c>
      <c r="D92" s="5" t="s">
        <v>46</v>
      </c>
      <c r="E92" s="5" t="s">
        <v>481</v>
      </c>
      <c r="F92" s="5" t="s">
        <v>2758</v>
      </c>
      <c r="G92" s="5" t="s">
        <v>2759</v>
      </c>
      <c r="H92" s="5" t="s">
        <v>2760</v>
      </c>
      <c r="I92" s="5" t="str">
        <f aca="false">HYPERLINK("https://omim.org/entry/219000", "219000")</f>
        <v>219000</v>
      </c>
      <c r="J92" s="5" t="s">
        <v>46</v>
      </c>
      <c r="K92" s="5" t="s">
        <v>46</v>
      </c>
      <c r="L92" s="5" t="s">
        <v>46</v>
      </c>
      <c r="M92" s="5" t="s">
        <v>46</v>
      </c>
      <c r="N92" s="5" t="s">
        <v>46</v>
      </c>
      <c r="O92" s="5" t="s">
        <v>46</v>
      </c>
    </row>
    <row r="93" s="5" customFormat="true" ht="15" hidden="false" customHeight="false" outlineLevel="0" collapsed="false">
      <c r="A93" s="5" t="s">
        <v>2761</v>
      </c>
      <c r="B93" s="5" t="s">
        <v>1995</v>
      </c>
      <c r="C93" s="5" t="s">
        <v>1996</v>
      </c>
      <c r="D93" s="5" t="s">
        <v>1997</v>
      </c>
      <c r="E93" s="5" t="s">
        <v>1998</v>
      </c>
      <c r="F93" s="5" t="s">
        <v>2762</v>
      </c>
      <c r="G93" s="5" t="s">
        <v>2473</v>
      </c>
      <c r="H93" s="5" t="s">
        <v>46</v>
      </c>
      <c r="I93" s="5" t="str">
        <f aca="false">HYPERLINK("https://omim.org/entry/616219", "616219")</f>
        <v>616219</v>
      </c>
      <c r="J93" s="5" t="s">
        <v>46</v>
      </c>
      <c r="K93" s="5" t="s">
        <v>46</v>
      </c>
      <c r="L93" s="5" t="s">
        <v>46</v>
      </c>
      <c r="M93" s="5" t="s">
        <v>46</v>
      </c>
      <c r="N93" s="5" t="s">
        <v>46</v>
      </c>
      <c r="O93" s="5" t="s">
        <v>46</v>
      </c>
    </row>
    <row r="94" s="5" customFormat="true" ht="15" hidden="false" customHeight="false" outlineLevel="0" collapsed="false">
      <c r="A94" s="5" t="s">
        <v>2763</v>
      </c>
      <c r="B94" s="5" t="s">
        <v>2231</v>
      </c>
      <c r="C94" s="5" t="s">
        <v>2232</v>
      </c>
      <c r="D94" s="5" t="s">
        <v>2233</v>
      </c>
      <c r="E94" s="5" t="s">
        <v>2234</v>
      </c>
      <c r="F94" s="5" t="s">
        <v>2764</v>
      </c>
      <c r="G94" s="5" t="s">
        <v>2765</v>
      </c>
      <c r="H94" s="5" t="s">
        <v>2766</v>
      </c>
      <c r="I94" s="5" t="str">
        <f aca="false">HYPERLINK("https://omim.org/entry/612956", "612956")</f>
        <v>612956</v>
      </c>
      <c r="J94" s="5" t="str">
        <f aca="false">HYPERLINK("https://omim.org/entry/616311", "616311")</f>
        <v>616311</v>
      </c>
      <c r="K94" s="5" t="s">
        <v>46</v>
      </c>
      <c r="L94" s="5" t="s">
        <v>46</v>
      </c>
      <c r="M94" s="5" t="s">
        <v>46</v>
      </c>
      <c r="N94" s="5" t="s">
        <v>46</v>
      </c>
      <c r="O94" s="5" t="s">
        <v>46</v>
      </c>
    </row>
    <row r="95" s="5" customFormat="true" ht="15" hidden="false" customHeight="false" outlineLevel="0" collapsed="false">
      <c r="A95" s="5" t="s">
        <v>2767</v>
      </c>
      <c r="B95" s="5" t="s">
        <v>2011</v>
      </c>
      <c r="C95" s="5" t="s">
        <v>2012</v>
      </c>
      <c r="D95" s="5" t="s">
        <v>2013</v>
      </c>
      <c r="E95" s="5" t="s">
        <v>2014</v>
      </c>
      <c r="F95" s="5" t="s">
        <v>2768</v>
      </c>
      <c r="G95" s="5" t="s">
        <v>2769</v>
      </c>
      <c r="H95" s="5" t="s">
        <v>2467</v>
      </c>
      <c r="I95" s="5" t="str">
        <f aca="false">HYPERLINK("https://omim.org/entry/612416", "612416")</f>
        <v>612416</v>
      </c>
      <c r="J95" s="5" t="s">
        <v>46</v>
      </c>
      <c r="K95" s="5" t="s">
        <v>46</v>
      </c>
      <c r="L95" s="5" t="s">
        <v>46</v>
      </c>
      <c r="M95" s="5" t="s">
        <v>46</v>
      </c>
      <c r="N95" s="5" t="s">
        <v>46</v>
      </c>
      <c r="O95" s="5" t="s">
        <v>46</v>
      </c>
    </row>
    <row r="96" s="5" customFormat="true" ht="15" hidden="false" customHeight="false" outlineLevel="0" collapsed="false">
      <c r="A96" s="5" t="s">
        <v>2770</v>
      </c>
      <c r="B96" s="5" t="s">
        <v>1281</v>
      </c>
      <c r="C96" s="5" t="s">
        <v>2771</v>
      </c>
      <c r="D96" s="5" t="s">
        <v>1283</v>
      </c>
      <c r="E96" s="5" t="s">
        <v>1284</v>
      </c>
      <c r="F96" s="5" t="s">
        <v>2772</v>
      </c>
      <c r="G96" s="5" t="s">
        <v>2773</v>
      </c>
      <c r="H96" s="5" t="s">
        <v>2774</v>
      </c>
      <c r="I96" s="5" t="str">
        <f aca="false">HYPERLINK("https://omim.org/entry/133239", "133239")</f>
        <v>133239</v>
      </c>
      <c r="J96" s="5" t="str">
        <f aca="false">HYPERLINK("https://omim.org/entry/114500", "114500")</f>
        <v>114500</v>
      </c>
      <c r="K96" s="5" t="s">
        <v>46</v>
      </c>
      <c r="L96" s="5" t="s">
        <v>46</v>
      </c>
      <c r="M96" s="5" t="s">
        <v>46</v>
      </c>
      <c r="N96" s="5" t="s">
        <v>46</v>
      </c>
      <c r="O96" s="5" t="s">
        <v>46</v>
      </c>
    </row>
    <row r="97" s="5" customFormat="true" ht="15" hidden="false" customHeight="false" outlineLevel="0" collapsed="false">
      <c r="A97" s="5" t="s">
        <v>2775</v>
      </c>
      <c r="B97" s="5" t="s">
        <v>92</v>
      </c>
      <c r="C97" s="5" t="s">
        <v>93</v>
      </c>
      <c r="D97" s="5" t="s">
        <v>94</v>
      </c>
      <c r="E97" s="5" t="s">
        <v>95</v>
      </c>
      <c r="F97" s="5" t="s">
        <v>2776</v>
      </c>
      <c r="G97" s="5" t="s">
        <v>2777</v>
      </c>
      <c r="H97" s="5" t="s">
        <v>2778</v>
      </c>
      <c r="I97" s="5" t="str">
        <f aca="false">HYPERLINK("https://omim.org/entry/611783", "611783")</f>
        <v>611783</v>
      </c>
      <c r="J97" s="5" t="s">
        <v>46</v>
      </c>
      <c r="K97" s="5" t="s">
        <v>46</v>
      </c>
      <c r="L97" s="5" t="s">
        <v>46</v>
      </c>
      <c r="M97" s="5" t="s">
        <v>46</v>
      </c>
      <c r="N97" s="5" t="s">
        <v>46</v>
      </c>
      <c r="O97" s="5" t="s">
        <v>46</v>
      </c>
    </row>
    <row r="98" s="5" customFormat="true" ht="15" hidden="false" customHeight="false" outlineLevel="0" collapsed="false">
      <c r="A98" s="5" t="s">
        <v>2779</v>
      </c>
      <c r="B98" s="5" t="s">
        <v>2350</v>
      </c>
      <c r="C98" s="5" t="s">
        <v>2780</v>
      </c>
      <c r="D98" s="5" t="s">
        <v>2352</v>
      </c>
      <c r="E98" s="5" t="s">
        <v>2353</v>
      </c>
      <c r="F98" s="5" t="s">
        <v>46</v>
      </c>
      <c r="G98" s="5" t="s">
        <v>2781</v>
      </c>
      <c r="H98" s="5" t="s">
        <v>2782</v>
      </c>
      <c r="I98" s="5" t="str">
        <f aca="false">HYPERLINK("https://omim.org/entry/613477", "613477")</f>
        <v>613477</v>
      </c>
      <c r="J98" s="5" t="s">
        <v>46</v>
      </c>
      <c r="K98" s="5" t="s">
        <v>46</v>
      </c>
      <c r="L98" s="5" t="s">
        <v>46</v>
      </c>
      <c r="M98" s="5" t="s">
        <v>46</v>
      </c>
      <c r="N98" s="5" t="s">
        <v>46</v>
      </c>
      <c r="O98" s="5" t="s">
        <v>46</v>
      </c>
    </row>
    <row r="99" s="5" customFormat="true" ht="15" hidden="false" customHeight="false" outlineLevel="0" collapsed="false">
      <c r="A99" s="5" t="s">
        <v>2783</v>
      </c>
      <c r="B99" s="5" t="s">
        <v>1454</v>
      </c>
      <c r="C99" s="5" t="s">
        <v>1455</v>
      </c>
      <c r="D99" s="5" t="s">
        <v>1456</v>
      </c>
      <c r="E99" s="5" t="s">
        <v>1457</v>
      </c>
      <c r="F99" s="5" t="s">
        <v>2784</v>
      </c>
      <c r="G99" s="5" t="s">
        <v>2785</v>
      </c>
      <c r="H99" s="5" t="s">
        <v>2786</v>
      </c>
      <c r="I99" s="5" t="str">
        <f aca="false">HYPERLINK("https://omim.org/entry/160900", "160900")</f>
        <v>160900</v>
      </c>
      <c r="J99" s="5" t="s">
        <v>46</v>
      </c>
      <c r="K99" s="5" t="s">
        <v>46</v>
      </c>
      <c r="L99" s="5" t="s">
        <v>46</v>
      </c>
      <c r="M99" s="5" t="s">
        <v>46</v>
      </c>
      <c r="N99" s="5" t="s">
        <v>46</v>
      </c>
      <c r="O99" s="5" t="s">
        <v>46</v>
      </c>
    </row>
    <row r="100" s="5" customFormat="true" ht="15" hidden="false" customHeight="false" outlineLevel="0" collapsed="false">
      <c r="A100" s="5" t="s">
        <v>2787</v>
      </c>
      <c r="B100" s="5" t="s">
        <v>1361</v>
      </c>
      <c r="C100" s="5" t="s">
        <v>2788</v>
      </c>
      <c r="D100" s="5" t="s">
        <v>1363</v>
      </c>
      <c r="E100" s="5" t="s">
        <v>1364</v>
      </c>
      <c r="F100" s="5" t="s">
        <v>46</v>
      </c>
      <c r="G100" s="5" t="s">
        <v>2789</v>
      </c>
      <c r="H100" s="5" t="s">
        <v>2790</v>
      </c>
      <c r="I100" s="5" t="str">
        <f aca="false">HYPERLINK("https://omim.org/entry/251850", "251850")</f>
        <v>251850</v>
      </c>
      <c r="J100" s="5" t="s">
        <v>46</v>
      </c>
      <c r="K100" s="5" t="s">
        <v>46</v>
      </c>
      <c r="L100" s="5" t="s">
        <v>46</v>
      </c>
      <c r="M100" s="5" t="s">
        <v>46</v>
      </c>
      <c r="N100" s="5" t="s">
        <v>46</v>
      </c>
      <c r="O100" s="5" t="s">
        <v>46</v>
      </c>
    </row>
    <row r="101" s="5" customFormat="true" ht="15" hidden="false" customHeight="false" outlineLevel="0" collapsed="false">
      <c r="A101" s="5" t="s">
        <v>2791</v>
      </c>
      <c r="B101" s="5" t="s">
        <v>842</v>
      </c>
      <c r="C101" s="5" t="s">
        <v>843</v>
      </c>
      <c r="D101" s="5" t="s">
        <v>844</v>
      </c>
      <c r="E101" s="5" t="s">
        <v>845</v>
      </c>
      <c r="F101" s="5" t="s">
        <v>2792</v>
      </c>
      <c r="G101" s="5" t="s">
        <v>2793</v>
      </c>
      <c r="H101" s="5" t="s">
        <v>2794</v>
      </c>
      <c r="I101" s="5" t="str">
        <f aca="false">HYPERLINK("https://omim.org/entry/125853", "125853")</f>
        <v>125853</v>
      </c>
      <c r="J101" s="5" t="s">
        <v>46</v>
      </c>
      <c r="K101" s="5" t="s">
        <v>46</v>
      </c>
      <c r="L101" s="5" t="s">
        <v>46</v>
      </c>
      <c r="M101" s="5" t="s">
        <v>46</v>
      </c>
      <c r="N101" s="5" t="s">
        <v>46</v>
      </c>
      <c r="O101" s="5" t="s">
        <v>46</v>
      </c>
    </row>
    <row r="102" s="5" customFormat="true" ht="15" hidden="false" customHeight="false" outlineLevel="0" collapsed="false">
      <c r="A102" s="5" t="s">
        <v>2795</v>
      </c>
      <c r="B102" s="5" t="s">
        <v>1246</v>
      </c>
      <c r="C102" s="5" t="s">
        <v>1247</v>
      </c>
      <c r="D102" s="5" t="s">
        <v>1248</v>
      </c>
      <c r="E102" s="5" t="s">
        <v>1249</v>
      </c>
      <c r="F102" s="5" t="s">
        <v>2796</v>
      </c>
      <c r="G102" s="5" t="s">
        <v>2797</v>
      </c>
      <c r="H102" s="5" t="s">
        <v>2798</v>
      </c>
      <c r="I102" s="5" t="str">
        <f aca="false">HYPERLINK("https://omim.org/entry/194380", "194380")</f>
        <v>194380</v>
      </c>
      <c r="J102" s="5" t="s">
        <v>46</v>
      </c>
      <c r="K102" s="5" t="s">
        <v>46</v>
      </c>
      <c r="L102" s="5" t="s">
        <v>46</v>
      </c>
      <c r="M102" s="5" t="s">
        <v>46</v>
      </c>
      <c r="N102" s="5" t="s">
        <v>46</v>
      </c>
      <c r="O102" s="5" t="s">
        <v>46</v>
      </c>
    </row>
    <row r="103" s="5" customFormat="true" ht="15" hidden="false" customHeight="false" outlineLevel="0" collapsed="false">
      <c r="A103" s="5" t="s">
        <v>2799</v>
      </c>
      <c r="B103" s="5" t="s">
        <v>1736</v>
      </c>
      <c r="C103" s="5" t="s">
        <v>2800</v>
      </c>
      <c r="D103" s="5" t="s">
        <v>1738</v>
      </c>
      <c r="E103" s="5" t="s">
        <v>1739</v>
      </c>
      <c r="F103" s="5" t="s">
        <v>46</v>
      </c>
      <c r="G103" s="5" t="s">
        <v>2801</v>
      </c>
      <c r="H103" s="5" t="s">
        <v>46</v>
      </c>
      <c r="I103" s="5" t="str">
        <f aca="false">HYPERLINK("https://omim.org/entry/614861", "614861")</f>
        <v>614861</v>
      </c>
      <c r="J103" s="5" t="s">
        <v>46</v>
      </c>
      <c r="K103" s="5" t="s">
        <v>46</v>
      </c>
      <c r="L103" s="5" t="s">
        <v>46</v>
      </c>
      <c r="M103" s="5" t="s">
        <v>46</v>
      </c>
      <c r="N103" s="5" t="s">
        <v>46</v>
      </c>
      <c r="O103" s="5" t="s">
        <v>46</v>
      </c>
    </row>
    <row r="104" s="5" customFormat="true" ht="15" hidden="false" customHeight="false" outlineLevel="0" collapsed="false">
      <c r="A104" s="5" t="s">
        <v>2802</v>
      </c>
      <c r="B104" s="5" t="s">
        <v>1045</v>
      </c>
      <c r="C104" s="5" t="s">
        <v>1046</v>
      </c>
      <c r="D104" s="5" t="s">
        <v>1047</v>
      </c>
      <c r="E104" s="5" t="s">
        <v>1048</v>
      </c>
      <c r="F104" s="5" t="s">
        <v>46</v>
      </c>
      <c r="G104" s="5" t="s">
        <v>2803</v>
      </c>
      <c r="H104" s="5" t="s">
        <v>2804</v>
      </c>
      <c r="I104" s="5" t="str">
        <f aca="false">HYPERLINK("https://omim.org/entry/608565", "608565")</f>
        <v>608565</v>
      </c>
      <c r="J104" s="5" t="s">
        <v>46</v>
      </c>
      <c r="K104" s="5" t="s">
        <v>46</v>
      </c>
      <c r="L104" s="5" t="s">
        <v>46</v>
      </c>
      <c r="M104" s="5" t="s">
        <v>46</v>
      </c>
      <c r="N104" s="5" t="s">
        <v>46</v>
      </c>
      <c r="O104" s="5" t="s">
        <v>46</v>
      </c>
    </row>
    <row r="105" s="5" customFormat="true" ht="15" hidden="false" customHeight="false" outlineLevel="0" collapsed="false">
      <c r="A105" s="5" t="s">
        <v>2805</v>
      </c>
      <c r="B105" s="5" t="s">
        <v>1974</v>
      </c>
      <c r="C105" s="5" t="s">
        <v>1975</v>
      </c>
      <c r="D105" s="5" t="s">
        <v>1976</v>
      </c>
      <c r="E105" s="5" t="s">
        <v>1977</v>
      </c>
      <c r="F105" s="5" t="s">
        <v>2806</v>
      </c>
      <c r="G105" s="5" t="s">
        <v>2501</v>
      </c>
      <c r="H105" s="5" t="s">
        <v>2807</v>
      </c>
      <c r="I105" s="5" t="str">
        <f aca="false">HYPERLINK("https://omim.org/entry/605594", "605594")</f>
        <v>605594</v>
      </c>
      <c r="J105" s="5" t="str">
        <f aca="false">HYPERLINK("https://omim.org/entry/125490", "125490")</f>
        <v>125490</v>
      </c>
      <c r="K105" s="5" t="str">
        <f aca="false">HYPERLINK("https://omim.org/entry/125500", "125500")</f>
        <v>125500</v>
      </c>
      <c r="L105" s="5" t="str">
        <f aca="false">HYPERLINK("https://omim.org/entry/125420", "125420")</f>
        <v>125420</v>
      </c>
      <c r="M105" s="5" t="s">
        <v>46</v>
      </c>
      <c r="N105" s="5" t="s">
        <v>46</v>
      </c>
      <c r="O105" s="5" t="s">
        <v>46</v>
      </c>
    </row>
    <row r="106" s="5" customFormat="true" ht="15" hidden="false" customHeight="false" outlineLevel="0" collapsed="false">
      <c r="A106" s="5" t="s">
        <v>2808</v>
      </c>
      <c r="B106" s="5" t="s">
        <v>2262</v>
      </c>
      <c r="C106" s="5" t="s">
        <v>2263</v>
      </c>
      <c r="D106" s="5" t="s">
        <v>2264</v>
      </c>
      <c r="E106" s="5" t="s">
        <v>2265</v>
      </c>
      <c r="F106" s="5" t="s">
        <v>2809</v>
      </c>
      <c r="G106" s="5" t="s">
        <v>2810</v>
      </c>
      <c r="H106" s="5" t="s">
        <v>46</v>
      </c>
      <c r="I106" s="5" t="str">
        <f aca="false">HYPERLINK("https://omim.org/entry/608641", "608641")</f>
        <v>608641</v>
      </c>
      <c r="J106" s="5" t="str">
        <f aca="false">HYPERLINK("https://omim.org/entry/616029", "616029")</f>
        <v>616029</v>
      </c>
      <c r="K106" s="5" t="s">
        <v>46</v>
      </c>
      <c r="L106" s="5" t="s">
        <v>46</v>
      </c>
      <c r="M106" s="5" t="s">
        <v>46</v>
      </c>
      <c r="N106" s="5" t="s">
        <v>46</v>
      </c>
      <c r="O106" s="5" t="s">
        <v>46</v>
      </c>
    </row>
    <row r="107" s="5" customFormat="true" ht="15" hidden="false" customHeight="false" outlineLevel="0" collapsed="false">
      <c r="A107" s="5" t="s">
        <v>2811</v>
      </c>
      <c r="B107" s="5" t="s">
        <v>316</v>
      </c>
      <c r="C107" s="5" t="s">
        <v>317</v>
      </c>
      <c r="D107" s="5" t="s">
        <v>318</v>
      </c>
      <c r="E107" s="5" t="s">
        <v>319</v>
      </c>
      <c r="F107" s="5" t="s">
        <v>2812</v>
      </c>
      <c r="G107" s="5" t="s">
        <v>46</v>
      </c>
      <c r="H107" s="5" t="s">
        <v>46</v>
      </c>
      <c r="I107" s="5" t="str">
        <f aca="false">HYPERLINK("https://omim.org/entry/606346", "606346")</f>
        <v>606346</v>
      </c>
      <c r="J107" s="5" t="str">
        <f aca="false">HYPERLINK("https://omim.org/entry/607821", "607821")</f>
        <v>607821</v>
      </c>
      <c r="K107" s="5" t="str">
        <f aca="false">HYPERLINK("https://omim.org/entry/606346", "606346")</f>
        <v>606346</v>
      </c>
      <c r="L107" s="5" t="s">
        <v>46</v>
      </c>
      <c r="M107" s="5" t="s">
        <v>46</v>
      </c>
      <c r="N107" s="5" t="s">
        <v>46</v>
      </c>
      <c r="O107" s="5" t="s">
        <v>46</v>
      </c>
    </row>
    <row r="108" s="5" customFormat="true" ht="15" hidden="false" customHeight="false" outlineLevel="0" collapsed="false">
      <c r="A108" s="5" t="s">
        <v>2813</v>
      </c>
      <c r="B108" s="5" t="s">
        <v>738</v>
      </c>
      <c r="C108" s="5" t="s">
        <v>739</v>
      </c>
      <c r="D108" s="5" t="s">
        <v>740</v>
      </c>
      <c r="E108" s="5" t="s">
        <v>741</v>
      </c>
      <c r="F108" s="5" t="s">
        <v>2814</v>
      </c>
      <c r="G108" s="5" t="s">
        <v>2815</v>
      </c>
      <c r="H108" s="5" t="s">
        <v>2816</v>
      </c>
      <c r="I108" s="5" t="str">
        <f aca="false">HYPERLINK("https://omim.org/entry/613270", "613270")</f>
        <v>613270</v>
      </c>
      <c r="J108" s="5" t="s">
        <v>46</v>
      </c>
      <c r="K108" s="5" t="s">
        <v>46</v>
      </c>
      <c r="L108" s="5" t="s">
        <v>46</v>
      </c>
      <c r="M108" s="5" t="s">
        <v>46</v>
      </c>
      <c r="N108" s="5" t="s">
        <v>46</v>
      </c>
      <c r="O108" s="5" t="s">
        <v>46</v>
      </c>
    </row>
    <row r="109" s="5" customFormat="true" ht="15" hidden="false" customHeight="false" outlineLevel="0" collapsed="false">
      <c r="A109" s="5" t="s">
        <v>2817</v>
      </c>
      <c r="B109" s="5" t="s">
        <v>604</v>
      </c>
      <c r="C109" s="5" t="s">
        <v>605</v>
      </c>
      <c r="D109" s="5" t="s">
        <v>606</v>
      </c>
      <c r="E109" s="5" t="s">
        <v>607</v>
      </c>
      <c r="F109" s="5" t="s">
        <v>46</v>
      </c>
      <c r="G109" s="5" t="s">
        <v>2818</v>
      </c>
      <c r="H109" s="5" t="s">
        <v>2616</v>
      </c>
      <c r="I109" s="5" t="str">
        <f aca="false">HYPERLINK("https://omim.org/entry/603147", "603147")</f>
        <v>603147</v>
      </c>
      <c r="J109" s="5" t="s">
        <v>46</v>
      </c>
      <c r="K109" s="5" t="s">
        <v>46</v>
      </c>
      <c r="L109" s="5" t="s">
        <v>46</v>
      </c>
      <c r="M109" s="5" t="s">
        <v>46</v>
      </c>
      <c r="N109" s="5" t="s">
        <v>46</v>
      </c>
      <c r="O109" s="5" t="s">
        <v>46</v>
      </c>
    </row>
    <row r="110" s="5" customFormat="true" ht="15" hidden="false" customHeight="false" outlineLevel="0" collapsed="false">
      <c r="A110" s="5" t="s">
        <v>2819</v>
      </c>
      <c r="B110" s="5" t="s">
        <v>947</v>
      </c>
      <c r="C110" s="5" t="s">
        <v>948</v>
      </c>
      <c r="D110" s="5" t="s">
        <v>949</v>
      </c>
      <c r="E110" s="5" t="s">
        <v>950</v>
      </c>
      <c r="F110" s="5" t="s">
        <v>2820</v>
      </c>
      <c r="G110" s="5" t="s">
        <v>2821</v>
      </c>
      <c r="H110" s="5" t="s">
        <v>2822</v>
      </c>
      <c r="I110" s="5" t="str">
        <f aca="false">HYPERLINK("https://omim.org/entry/615973", "615973")</f>
        <v>615973</v>
      </c>
      <c r="J110" s="5" t="s">
        <v>46</v>
      </c>
      <c r="K110" s="5" t="s">
        <v>46</v>
      </c>
      <c r="L110" s="5" t="s">
        <v>46</v>
      </c>
      <c r="M110" s="5" t="s">
        <v>46</v>
      </c>
      <c r="N110" s="5" t="s">
        <v>46</v>
      </c>
      <c r="O110" s="5" t="s">
        <v>46</v>
      </c>
    </row>
    <row r="111" s="5" customFormat="true" ht="15" hidden="false" customHeight="false" outlineLevel="0" collapsed="false">
      <c r="A111" s="5" t="s">
        <v>2823</v>
      </c>
      <c r="B111" s="5" t="s">
        <v>46</v>
      </c>
      <c r="C111" s="5" t="s">
        <v>1227</v>
      </c>
      <c r="D111" s="5" t="s">
        <v>1228</v>
      </c>
      <c r="E111" s="5" t="s">
        <v>1229</v>
      </c>
      <c r="F111" s="5" t="s">
        <v>46</v>
      </c>
      <c r="G111" s="5" t="s">
        <v>2824</v>
      </c>
      <c r="H111" s="5" t="s">
        <v>2825</v>
      </c>
      <c r="I111" s="5" t="str">
        <f aca="false">HYPERLINK("https://omim.org/entry/608647", "608647")</f>
        <v>608647</v>
      </c>
      <c r="J111" s="5" t="s">
        <v>46</v>
      </c>
      <c r="K111" s="5" t="s">
        <v>46</v>
      </c>
      <c r="L111" s="5" t="s">
        <v>46</v>
      </c>
      <c r="M111" s="5" t="s">
        <v>46</v>
      </c>
      <c r="N111" s="5" t="s">
        <v>46</v>
      </c>
      <c r="O111" s="5" t="s">
        <v>46</v>
      </c>
    </row>
    <row r="112" s="5" customFormat="true" ht="15" hidden="false" customHeight="false" outlineLevel="0" collapsed="false">
      <c r="A112" s="5" t="s">
        <v>2826</v>
      </c>
      <c r="B112" s="5" t="s">
        <v>2017</v>
      </c>
      <c r="C112" s="5" t="s">
        <v>2018</v>
      </c>
      <c r="D112" s="5" t="s">
        <v>2019</v>
      </c>
      <c r="E112" s="5" t="s">
        <v>2020</v>
      </c>
      <c r="F112" s="5" t="s">
        <v>46</v>
      </c>
      <c r="G112" s="5" t="s">
        <v>2827</v>
      </c>
      <c r="H112" s="5" t="s">
        <v>2828</v>
      </c>
      <c r="I112" s="5" t="str">
        <f aca="false">HYPERLINK("https://omim.org/entry/608644", "608644")</f>
        <v>608644</v>
      </c>
      <c r="J112" s="5" t="str">
        <f aca="false">HYPERLINK("https://omim.org/entry/244400", "244400")</f>
        <v>244400</v>
      </c>
      <c r="K112" s="5" t="s">
        <v>46</v>
      </c>
      <c r="L112" s="5" t="s">
        <v>46</v>
      </c>
      <c r="M112" s="5" t="s">
        <v>46</v>
      </c>
      <c r="N112" s="5" t="s">
        <v>46</v>
      </c>
      <c r="O112" s="5" t="s">
        <v>46</v>
      </c>
    </row>
    <row r="113" s="5" customFormat="true" ht="15" hidden="false" customHeight="false" outlineLevel="0" collapsed="false">
      <c r="A113" s="5" t="s">
        <v>2829</v>
      </c>
      <c r="B113" s="5" t="s">
        <v>1113</v>
      </c>
      <c r="C113" s="5" t="s">
        <v>2830</v>
      </c>
      <c r="D113" s="5" t="s">
        <v>1115</v>
      </c>
      <c r="E113" s="5" t="s">
        <v>1116</v>
      </c>
      <c r="F113" s="5" t="s">
        <v>2831</v>
      </c>
      <c r="G113" s="5" t="s">
        <v>46</v>
      </c>
      <c r="H113" s="5" t="s">
        <v>46</v>
      </c>
      <c r="I113" s="5" t="str">
        <f aca="false">HYPERLINK("https://omim.org/entry/615482", "615482")</f>
        <v>615482</v>
      </c>
      <c r="J113" s="5" t="s">
        <v>46</v>
      </c>
      <c r="K113" s="5" t="s">
        <v>46</v>
      </c>
      <c r="L113" s="5" t="s">
        <v>46</v>
      </c>
      <c r="M113" s="5" t="s">
        <v>46</v>
      </c>
      <c r="N113" s="5" t="s">
        <v>46</v>
      </c>
      <c r="O113" s="5" t="s">
        <v>46</v>
      </c>
    </row>
    <row r="114" s="5" customFormat="true" ht="15" hidden="false" customHeight="false" outlineLevel="0" collapsed="false">
      <c r="A114" s="5" t="s">
        <v>2832</v>
      </c>
      <c r="B114" s="5" t="s">
        <v>2833</v>
      </c>
      <c r="C114" s="5" t="s">
        <v>2834</v>
      </c>
      <c r="D114" s="5" t="s">
        <v>1023</v>
      </c>
      <c r="E114" s="5" t="s">
        <v>1024</v>
      </c>
      <c r="F114" s="5" t="s">
        <v>2835</v>
      </c>
      <c r="G114" s="5" t="s">
        <v>2836</v>
      </c>
      <c r="H114" s="5" t="s">
        <v>2837</v>
      </c>
      <c r="I114" s="5" t="str">
        <f aca="false">HYPERLINK("https://omim.org/entry/118700", "118700")</f>
        <v>118700</v>
      </c>
      <c r="J114" s="5" t="str">
        <f aca="false">HYPERLINK("https://omim.org/entry/610978", "610978")</f>
        <v>610978</v>
      </c>
      <c r="K114" s="5" t="s">
        <v>46</v>
      </c>
      <c r="L114" s="5" t="s">
        <v>46</v>
      </c>
      <c r="M114" s="5" t="s">
        <v>46</v>
      </c>
      <c r="N114" s="5" t="s">
        <v>46</v>
      </c>
      <c r="O114" s="5" t="s">
        <v>46</v>
      </c>
    </row>
    <row r="115" s="5" customFormat="true" ht="15" hidden="false" customHeight="false" outlineLevel="0" collapsed="false">
      <c r="A115" s="5" t="s">
        <v>2838</v>
      </c>
      <c r="B115" s="5" t="s">
        <v>686</v>
      </c>
      <c r="C115" s="5" t="s">
        <v>2839</v>
      </c>
      <c r="D115" s="5" t="s">
        <v>46</v>
      </c>
      <c r="E115" s="5" t="s">
        <v>688</v>
      </c>
      <c r="F115" s="5" t="s">
        <v>46</v>
      </c>
      <c r="G115" s="5" t="s">
        <v>2840</v>
      </c>
      <c r="H115" s="5" t="s">
        <v>2841</v>
      </c>
      <c r="I115" s="5" t="str">
        <f aca="false">HYPERLINK("https://omim.org/entry/616007", "616007")</f>
        <v>616007</v>
      </c>
      <c r="J115" s="5" t="s">
        <v>46</v>
      </c>
      <c r="K115" s="5" t="s">
        <v>46</v>
      </c>
      <c r="L115" s="5" t="s">
        <v>46</v>
      </c>
      <c r="M115" s="5" t="s">
        <v>46</v>
      </c>
      <c r="N115" s="5" t="s">
        <v>46</v>
      </c>
      <c r="O115" s="5" t="s">
        <v>46</v>
      </c>
    </row>
    <row r="116" s="5" customFormat="true" ht="15" hidden="false" customHeight="false" outlineLevel="0" collapsed="false">
      <c r="A116" s="5" t="s">
        <v>2842</v>
      </c>
      <c r="B116" s="5" t="s">
        <v>308</v>
      </c>
      <c r="C116" s="5" t="s">
        <v>309</v>
      </c>
      <c r="D116" s="5" t="s">
        <v>310</v>
      </c>
      <c r="E116" s="5" t="s">
        <v>311</v>
      </c>
      <c r="F116" s="5" t="s">
        <v>46</v>
      </c>
      <c r="G116" s="5" t="s">
        <v>2843</v>
      </c>
      <c r="H116" s="5" t="s">
        <v>2844</v>
      </c>
      <c r="I116" s="5" t="str">
        <f aca="false">HYPERLINK("https://omim.org/entry/608569", "608569")</f>
        <v>608569</v>
      </c>
      <c r="J116" s="5" t="str">
        <f aca="false">HYPERLINK("https://omim.org/entry/614050", "614050")</f>
        <v>614050</v>
      </c>
      <c r="K116" s="5" t="str">
        <f aca="false">HYPERLINK("https://omim.org/entry/239850", "239850")</f>
        <v>239850</v>
      </c>
      <c r="L116" s="5" t="s">
        <v>46</v>
      </c>
      <c r="M116" s="5" t="s">
        <v>46</v>
      </c>
      <c r="N116" s="5" t="s">
        <v>46</v>
      </c>
      <c r="O116" s="5" t="s">
        <v>46</v>
      </c>
    </row>
    <row r="117" s="5" customFormat="true" ht="15" hidden="false" customHeight="false" outlineLevel="0" collapsed="false">
      <c r="A117" s="5" t="s">
        <v>2845</v>
      </c>
      <c r="B117" s="5" t="s">
        <v>2108</v>
      </c>
      <c r="C117" s="5" t="s">
        <v>2846</v>
      </c>
      <c r="D117" s="5" t="s">
        <v>2110</v>
      </c>
      <c r="E117" s="5" t="s">
        <v>2111</v>
      </c>
      <c r="F117" s="5" t="s">
        <v>2847</v>
      </c>
      <c r="G117" s="5" t="s">
        <v>2848</v>
      </c>
      <c r="H117" s="5" t="s">
        <v>2849</v>
      </c>
      <c r="I117" s="5" t="str">
        <f aca="false">HYPERLINK("https://omim.org/entry/615527", "615527")</f>
        <v>615527</v>
      </c>
      <c r="J117" s="5" t="s">
        <v>46</v>
      </c>
      <c r="K117" s="5" t="s">
        <v>46</v>
      </c>
      <c r="L117" s="5" t="s">
        <v>46</v>
      </c>
      <c r="M117" s="5" t="s">
        <v>46</v>
      </c>
      <c r="N117" s="5" t="s">
        <v>46</v>
      </c>
      <c r="O117" s="5" t="s">
        <v>46</v>
      </c>
    </row>
    <row r="118" s="5" customFormat="true" ht="15" hidden="false" customHeight="false" outlineLevel="0" collapsed="false">
      <c r="A118" s="5" t="s">
        <v>2850</v>
      </c>
      <c r="B118" s="5" t="s">
        <v>727</v>
      </c>
      <c r="C118" s="5" t="s">
        <v>728</v>
      </c>
      <c r="D118" s="5" t="s">
        <v>729</v>
      </c>
      <c r="E118" s="5" t="s">
        <v>730</v>
      </c>
      <c r="F118" s="5" t="s">
        <v>2851</v>
      </c>
      <c r="G118" s="5" t="s">
        <v>2852</v>
      </c>
      <c r="H118" s="5" t="s">
        <v>2853</v>
      </c>
      <c r="I118" s="5" t="str">
        <f aca="false">HYPERLINK("https://omim.org/entry/611876", "611876")</f>
        <v>611876</v>
      </c>
      <c r="J118" s="5" t="s">
        <v>46</v>
      </c>
      <c r="K118" s="5" t="s">
        <v>46</v>
      </c>
      <c r="L118" s="5" t="s">
        <v>46</v>
      </c>
      <c r="M118" s="5" t="s">
        <v>46</v>
      </c>
      <c r="N118" s="5" t="s">
        <v>46</v>
      </c>
      <c r="O118" s="5" t="s">
        <v>46</v>
      </c>
    </row>
    <row r="119" s="5" customFormat="true" ht="15" hidden="false" customHeight="false" outlineLevel="0" collapsed="false">
      <c r="A119" s="5" t="s">
        <v>2854</v>
      </c>
      <c r="B119" s="5" t="s">
        <v>148</v>
      </c>
      <c r="C119" s="5" t="s">
        <v>149</v>
      </c>
      <c r="D119" s="5" t="s">
        <v>150</v>
      </c>
      <c r="E119" s="5" t="s">
        <v>151</v>
      </c>
      <c r="F119" s="5" t="s">
        <v>2855</v>
      </c>
      <c r="G119" s="5" t="s">
        <v>46</v>
      </c>
      <c r="H119" s="5" t="s">
        <v>46</v>
      </c>
      <c r="I119" s="5" t="str">
        <f aca="false">HYPERLINK("https://omim.org/entry/114480", "114480")</f>
        <v>114480</v>
      </c>
      <c r="J119" s="5" t="str">
        <f aca="false">HYPERLINK("https://omim.org/entry/613347", "613347")</f>
        <v>613347</v>
      </c>
      <c r="K119" s="5" t="str">
        <f aca="false">HYPERLINK("https://omim.org/entry/612555", "612555")</f>
        <v>612555</v>
      </c>
      <c r="L119" s="5" t="str">
        <f aca="false">HYPERLINK("https://omim.org/entry/605724", "605724")</f>
        <v>605724</v>
      </c>
      <c r="M119" s="5" t="str">
        <f aca="false">HYPERLINK("https://omim.org/entry/613029", "613029")</f>
        <v>613029</v>
      </c>
      <c r="N119" s="5" t="s">
        <v>46</v>
      </c>
      <c r="O119" s="5" t="s">
        <v>46</v>
      </c>
    </row>
    <row r="120" s="5" customFormat="true" ht="15" hidden="false" customHeight="false" outlineLevel="0" collapsed="false">
      <c r="A120" s="5" t="s">
        <v>2856</v>
      </c>
      <c r="B120" s="5" t="s">
        <v>2047</v>
      </c>
      <c r="C120" s="5" t="s">
        <v>2048</v>
      </c>
      <c r="D120" s="5" t="s">
        <v>2049</v>
      </c>
      <c r="E120" s="5" t="s">
        <v>2050</v>
      </c>
      <c r="F120" s="5" t="s">
        <v>46</v>
      </c>
      <c r="G120" s="5" t="s">
        <v>2857</v>
      </c>
      <c r="H120" s="5" t="s">
        <v>2858</v>
      </c>
      <c r="I120" s="5" t="str">
        <f aca="false">HYPERLINK("https://omim.org/entry/113620", "113620")</f>
        <v>113620</v>
      </c>
      <c r="J120" s="5" t="s">
        <v>46</v>
      </c>
      <c r="K120" s="5" t="s">
        <v>46</v>
      </c>
      <c r="L120" s="5" t="s">
        <v>46</v>
      </c>
      <c r="M120" s="5" t="s">
        <v>46</v>
      </c>
      <c r="N120" s="5" t="s">
        <v>46</v>
      </c>
      <c r="O120" s="5" t="s">
        <v>46</v>
      </c>
    </row>
    <row r="121" s="5" customFormat="true" ht="15" hidden="false" customHeight="false" outlineLevel="0" collapsed="false">
      <c r="A121" s="5" t="s">
        <v>2859</v>
      </c>
      <c r="B121" s="5" t="s">
        <v>1515</v>
      </c>
      <c r="C121" s="5" t="s">
        <v>1516</v>
      </c>
      <c r="D121" s="5" t="s">
        <v>1517</v>
      </c>
      <c r="E121" s="5" t="s">
        <v>1518</v>
      </c>
      <c r="F121" s="5" t="s">
        <v>2860</v>
      </c>
      <c r="G121" s="5" t="s">
        <v>46</v>
      </c>
      <c r="H121" s="5" t="s">
        <v>46</v>
      </c>
      <c r="I121" s="5" t="str">
        <f aca="false">HYPERLINK("https://omim.org/entry/613393", "613393")</f>
        <v>613393</v>
      </c>
      <c r="J121" s="5" t="s">
        <v>46</v>
      </c>
      <c r="K121" s="5" t="s">
        <v>46</v>
      </c>
      <c r="L121" s="5" t="s">
        <v>46</v>
      </c>
      <c r="M121" s="5" t="s">
        <v>46</v>
      </c>
      <c r="N121" s="5" t="s">
        <v>46</v>
      </c>
      <c r="O121" s="5" t="s">
        <v>46</v>
      </c>
    </row>
    <row r="122" s="5" customFormat="true" ht="15" hidden="false" customHeight="false" outlineLevel="0" collapsed="false">
      <c r="A122" s="5" t="s">
        <v>2861</v>
      </c>
      <c r="B122" s="5" t="s">
        <v>2223</v>
      </c>
      <c r="C122" s="5" t="s">
        <v>2862</v>
      </c>
      <c r="D122" s="5" t="s">
        <v>2225</v>
      </c>
      <c r="E122" s="5" t="s">
        <v>2226</v>
      </c>
      <c r="F122" s="5" t="s">
        <v>2863</v>
      </c>
      <c r="G122" s="5" t="s">
        <v>2864</v>
      </c>
      <c r="H122" s="5" t="s">
        <v>2865</v>
      </c>
      <c r="I122" s="5" t="str">
        <f aca="false">HYPERLINK("https://omim.org/entry/612100", "612100")</f>
        <v>612100</v>
      </c>
      <c r="J122" s="5" t="s">
        <v>46</v>
      </c>
      <c r="K122" s="5" t="s">
        <v>46</v>
      </c>
      <c r="L122" s="5" t="s">
        <v>46</v>
      </c>
      <c r="M122" s="5" t="s">
        <v>46</v>
      </c>
      <c r="N122" s="5" t="s">
        <v>46</v>
      </c>
      <c r="O122" s="5" t="s">
        <v>46</v>
      </c>
    </row>
    <row r="123" s="5" customFormat="true" ht="15" hidden="false" customHeight="false" outlineLevel="0" collapsed="false">
      <c r="A123" s="5" t="s">
        <v>2866</v>
      </c>
      <c r="B123" s="5" t="s">
        <v>1352</v>
      </c>
      <c r="C123" s="5" t="s">
        <v>1353</v>
      </c>
      <c r="D123" s="5" t="s">
        <v>1354</v>
      </c>
      <c r="E123" s="5" t="s">
        <v>1355</v>
      </c>
      <c r="F123" s="5" t="s">
        <v>46</v>
      </c>
      <c r="G123" s="5" t="s">
        <v>2867</v>
      </c>
      <c r="H123" s="5" t="s">
        <v>2868</v>
      </c>
      <c r="I123" s="5" t="str">
        <f aca="false">HYPERLINK("https://omim.org/entry/108145", "108145")</f>
        <v>108145</v>
      </c>
      <c r="J123" s="5" t="str">
        <f aca="false">HYPERLINK("https://omim.org/entry/114300", "114300")</f>
        <v>114300</v>
      </c>
      <c r="K123" s="5" t="str">
        <f aca="false">HYPERLINK("https://omim.org/entry/248700", "248700")</f>
        <v>248700</v>
      </c>
      <c r="L123" s="5" t="s">
        <v>46</v>
      </c>
      <c r="M123" s="5" t="s">
        <v>46</v>
      </c>
      <c r="N123" s="5" t="s">
        <v>46</v>
      </c>
      <c r="O123" s="5" t="s">
        <v>46</v>
      </c>
    </row>
    <row r="124" s="5" customFormat="true" ht="15" hidden="false" customHeight="false" outlineLevel="0" collapsed="false">
      <c r="A124" s="5" t="s">
        <v>2869</v>
      </c>
      <c r="B124" s="5" t="s">
        <v>2374</v>
      </c>
      <c r="C124" s="5" t="s">
        <v>2375</v>
      </c>
      <c r="D124" s="5" t="s">
        <v>2376</v>
      </c>
      <c r="E124" s="5" t="s">
        <v>2377</v>
      </c>
      <c r="F124" s="5" t="s">
        <v>2870</v>
      </c>
      <c r="G124" s="5" t="s">
        <v>2871</v>
      </c>
      <c r="H124" s="5" t="s">
        <v>2872</v>
      </c>
      <c r="I124" s="5" t="str">
        <f aca="false">HYPERLINK("https://omim.org/entry/109730", "109730")</f>
        <v>109730</v>
      </c>
      <c r="J124" s="5" t="str">
        <f aca="false">HYPERLINK("https://omim.org/entry/616028", "616028")</f>
        <v>616028</v>
      </c>
      <c r="K124" s="5" t="s">
        <v>46</v>
      </c>
      <c r="L124" s="5" t="s">
        <v>46</v>
      </c>
      <c r="M124" s="5" t="s">
        <v>46</v>
      </c>
      <c r="N124" s="5" t="s">
        <v>46</v>
      </c>
      <c r="O124" s="5" t="s">
        <v>46</v>
      </c>
    </row>
    <row r="125" s="5" customFormat="true" ht="15" hidden="false" customHeight="false" outlineLevel="0" collapsed="false">
      <c r="A125" s="5" t="s">
        <v>2873</v>
      </c>
      <c r="B125" s="5" t="s">
        <v>1664</v>
      </c>
      <c r="C125" s="5" t="s">
        <v>1665</v>
      </c>
      <c r="D125" s="5" t="s">
        <v>1666</v>
      </c>
      <c r="E125" s="5" t="s">
        <v>1667</v>
      </c>
      <c r="F125" s="5" t="s">
        <v>2874</v>
      </c>
      <c r="G125" s="5" t="s">
        <v>46</v>
      </c>
      <c r="H125" s="5" t="s">
        <v>46</v>
      </c>
      <c r="I125" s="5" t="str">
        <f aca="false">HYPERLINK("https://omim.org/entry/105150", "105150")</f>
        <v>105150</v>
      </c>
      <c r="J125" s="5" t="str">
        <f aca="false">HYPERLINK("https://omim.org/entry/611953", "611953")</f>
        <v>611953</v>
      </c>
      <c r="K125" s="5" t="s">
        <v>46</v>
      </c>
      <c r="L125" s="5" t="s">
        <v>46</v>
      </c>
      <c r="M125" s="5" t="s">
        <v>46</v>
      </c>
      <c r="N125" s="5" t="s">
        <v>46</v>
      </c>
      <c r="O125" s="5" t="s">
        <v>46</v>
      </c>
    </row>
    <row r="126" s="5" customFormat="true" ht="15" hidden="false" customHeight="false" outlineLevel="0" collapsed="false">
      <c r="A126" s="5" t="s">
        <v>2875</v>
      </c>
      <c r="B126" s="5" t="s">
        <v>2242</v>
      </c>
      <c r="C126" s="5" t="s">
        <v>2243</v>
      </c>
      <c r="D126" s="5" t="s">
        <v>2244</v>
      </c>
      <c r="E126" s="5" t="s">
        <v>2245</v>
      </c>
      <c r="F126" s="5" t="s">
        <v>2876</v>
      </c>
      <c r="G126" s="5" t="s">
        <v>2877</v>
      </c>
      <c r="H126" s="5" t="s">
        <v>2878</v>
      </c>
      <c r="I126" s="5" t="str">
        <f aca="false">HYPERLINK("https://omim.org/entry/203655", "203655")</f>
        <v>203655</v>
      </c>
      <c r="J126" s="5" t="str">
        <f aca="false">HYPERLINK("https://omim.org/entry/209500", "209500")</f>
        <v>209500</v>
      </c>
      <c r="K126" s="5" t="str">
        <f aca="false">HYPERLINK("https://omim.org/entry/146550", "146550")</f>
        <v>146550</v>
      </c>
      <c r="L126" s="5" t="s">
        <v>46</v>
      </c>
      <c r="M126" s="5" t="s">
        <v>46</v>
      </c>
      <c r="N126" s="5" t="s">
        <v>46</v>
      </c>
      <c r="O126" s="5" t="s">
        <v>46</v>
      </c>
    </row>
    <row r="127" s="5" customFormat="true" ht="15" hidden="false" customHeight="false" outlineLevel="0" collapsed="false">
      <c r="A127" s="5" t="s">
        <v>2879</v>
      </c>
      <c r="B127" s="5" t="s">
        <v>2880</v>
      </c>
      <c r="C127" s="5" t="s">
        <v>2881</v>
      </c>
      <c r="D127" s="5" t="s">
        <v>2882</v>
      </c>
      <c r="E127" s="5" t="s">
        <v>474</v>
      </c>
      <c r="F127" s="5" t="s">
        <v>2883</v>
      </c>
      <c r="G127" s="5" t="s">
        <v>2884</v>
      </c>
      <c r="H127" s="5" t="s">
        <v>2885</v>
      </c>
      <c r="I127" s="5" t="str">
        <f aca="false">HYPERLINK("https://omim.org/entry/225750", "225750")</f>
        <v>225750</v>
      </c>
      <c r="J127" s="5" t="str">
        <f aca="false">HYPERLINK("https://omim.org/entry/152700", "152700")</f>
        <v>152700</v>
      </c>
      <c r="K127" s="5" t="str">
        <f aca="false">HYPERLINK("https://omim.org/entry/610448", "610448")</f>
        <v>610448</v>
      </c>
      <c r="L127" s="5" t="str">
        <f aca="false">HYPERLINK("https://omim.org/entry/192315", "192315")</f>
        <v>192315</v>
      </c>
      <c r="M127" s="5" t="s">
        <v>46</v>
      </c>
      <c r="N127" s="5" t="s">
        <v>46</v>
      </c>
      <c r="O127" s="5" t="s">
        <v>46</v>
      </c>
    </row>
    <row r="128" s="5" customFormat="true" ht="15" hidden="false" customHeight="false" outlineLevel="0" collapsed="false">
      <c r="A128" s="5" t="s">
        <v>2886</v>
      </c>
      <c r="B128" s="5" t="s">
        <v>1638</v>
      </c>
      <c r="C128" s="5" t="s">
        <v>1639</v>
      </c>
      <c r="D128" s="5" t="s">
        <v>1640</v>
      </c>
      <c r="E128" s="5" t="s">
        <v>1641</v>
      </c>
      <c r="F128" s="5" t="s">
        <v>2887</v>
      </c>
      <c r="G128" s="5" t="s">
        <v>2888</v>
      </c>
      <c r="H128" s="5" t="s">
        <v>2889</v>
      </c>
      <c r="I128" s="5" t="str">
        <f aca="false">HYPERLINK("https://omim.org/entry/604348", "604348")</f>
        <v>604348</v>
      </c>
      <c r="J128" s="5" t="s">
        <v>46</v>
      </c>
      <c r="K128" s="5" t="s">
        <v>46</v>
      </c>
      <c r="L128" s="5" t="s">
        <v>46</v>
      </c>
      <c r="M128" s="5" t="s">
        <v>46</v>
      </c>
      <c r="N128" s="5" t="s">
        <v>46</v>
      </c>
      <c r="O128" s="5" t="s">
        <v>46</v>
      </c>
    </row>
    <row r="129" s="5" customFormat="true" ht="15" hidden="false" customHeight="false" outlineLevel="0" collapsed="false">
      <c r="A129" s="5" t="s">
        <v>2890</v>
      </c>
      <c r="B129" s="5" t="s">
        <v>2445</v>
      </c>
      <c r="C129" s="5" t="s">
        <v>2446</v>
      </c>
      <c r="D129" s="5" t="s">
        <v>2447</v>
      </c>
      <c r="E129" s="5" t="s">
        <v>2448</v>
      </c>
      <c r="F129" s="5" t="s">
        <v>46</v>
      </c>
      <c r="G129" s="5" t="s">
        <v>2891</v>
      </c>
      <c r="H129" s="5" t="s">
        <v>2892</v>
      </c>
      <c r="I129" s="5" t="str">
        <f aca="false">HYPERLINK("https://omim.org/entry/300100", "300100")</f>
        <v>300100</v>
      </c>
      <c r="J129" s="5" t="s">
        <v>46</v>
      </c>
      <c r="K129" s="5" t="s">
        <v>46</v>
      </c>
      <c r="L129" s="5" t="s">
        <v>46</v>
      </c>
      <c r="M129" s="5" t="s">
        <v>46</v>
      </c>
      <c r="N129" s="5" t="s">
        <v>46</v>
      </c>
      <c r="O129" s="5" t="s">
        <v>46</v>
      </c>
    </row>
    <row r="130" s="5" customFormat="true" ht="15" hidden="false" customHeight="false" outlineLevel="0" collapsed="false">
      <c r="A130" s="5" t="s">
        <v>2893</v>
      </c>
      <c r="B130" s="5" t="s">
        <v>1625</v>
      </c>
      <c r="C130" s="5" t="s">
        <v>1626</v>
      </c>
      <c r="D130" s="5" t="s">
        <v>46</v>
      </c>
      <c r="E130" s="5" t="s">
        <v>1627</v>
      </c>
      <c r="F130" s="5" t="s">
        <v>46</v>
      </c>
      <c r="G130" s="5" t="s">
        <v>2894</v>
      </c>
      <c r="H130" s="5" t="s">
        <v>2895</v>
      </c>
      <c r="I130" s="5" t="str">
        <f aca="false">HYPERLINK("https://omim.org/entry/201475", "201475")</f>
        <v>201475</v>
      </c>
      <c r="J130" s="5" t="s">
        <v>46</v>
      </c>
      <c r="K130" s="5" t="s">
        <v>46</v>
      </c>
      <c r="L130" s="5" t="s">
        <v>46</v>
      </c>
      <c r="M130" s="5" t="s">
        <v>46</v>
      </c>
      <c r="N130" s="5" t="s">
        <v>46</v>
      </c>
      <c r="O130" s="5" t="s">
        <v>46</v>
      </c>
    </row>
    <row r="131" s="5" customFormat="true" ht="15" hidden="false" customHeight="false" outlineLevel="0" collapsed="false">
      <c r="A131" s="5" t="s">
        <v>2896</v>
      </c>
      <c r="B131" s="5" t="s">
        <v>867</v>
      </c>
      <c r="C131" s="5" t="s">
        <v>868</v>
      </c>
      <c r="D131" s="5" t="s">
        <v>869</v>
      </c>
      <c r="E131" s="5" t="s">
        <v>870</v>
      </c>
      <c r="F131" s="5" t="s">
        <v>2897</v>
      </c>
      <c r="G131" s="5" t="s">
        <v>2898</v>
      </c>
      <c r="H131" s="5" t="s">
        <v>2899</v>
      </c>
      <c r="I131" s="5" t="str">
        <f aca="false">HYPERLINK("https://omim.org/entry/219090", "219090")</f>
        <v>219090</v>
      </c>
      <c r="J131" s="5" t="str">
        <f aca="false">HYPERLINK("https://omim.org/entry/600634", "600634")</f>
        <v>600634</v>
      </c>
      <c r="K131" s="5" t="s">
        <v>46</v>
      </c>
      <c r="L131" s="5" t="s">
        <v>46</v>
      </c>
      <c r="M131" s="5" t="s">
        <v>46</v>
      </c>
      <c r="N131" s="5" t="s">
        <v>46</v>
      </c>
      <c r="O131" s="5" t="s">
        <v>46</v>
      </c>
    </row>
    <row r="132" s="5" customFormat="true" ht="15" hidden="false" customHeight="false" outlineLevel="0" collapsed="false">
      <c r="A132" s="5" t="s">
        <v>2900</v>
      </c>
      <c r="B132" s="5" t="s">
        <v>1699</v>
      </c>
      <c r="C132" s="5" t="s">
        <v>1700</v>
      </c>
      <c r="D132" s="5" t="s">
        <v>46</v>
      </c>
      <c r="E132" s="5" t="s">
        <v>1701</v>
      </c>
      <c r="F132" s="5" t="s">
        <v>46</v>
      </c>
      <c r="G132" s="5" t="s">
        <v>2901</v>
      </c>
      <c r="H132" s="5" t="s">
        <v>2902</v>
      </c>
      <c r="I132" s="5" t="str">
        <f aca="false">HYPERLINK("https://omim.org/entry/219080", "219080")</f>
        <v>219080</v>
      </c>
      <c r="J132" s="5" t="str">
        <f aca="false">HYPERLINK("https://omim.org/entry/603233", "603233")</f>
        <v>603233</v>
      </c>
      <c r="K132" s="5" t="str">
        <f aca="false">HYPERLINK("https://omim.org/entry/139320", "139320")</f>
        <v>139320</v>
      </c>
      <c r="L132" s="5" t="s">
        <v>46</v>
      </c>
      <c r="M132" s="5" t="s">
        <v>46</v>
      </c>
      <c r="N132" s="5" t="s">
        <v>46</v>
      </c>
      <c r="O132" s="5" t="s">
        <v>46</v>
      </c>
    </row>
    <row r="133" s="5" customFormat="true" ht="15" hidden="false" customHeight="false" outlineLevel="0" collapsed="false">
      <c r="A133" s="5" t="s">
        <v>2903</v>
      </c>
      <c r="B133" s="5" t="s">
        <v>2256</v>
      </c>
      <c r="C133" s="5" t="s">
        <v>2257</v>
      </c>
      <c r="D133" s="5" t="s">
        <v>2258</v>
      </c>
      <c r="E133" s="5" t="s">
        <v>2259</v>
      </c>
      <c r="F133" s="5" t="s">
        <v>2904</v>
      </c>
      <c r="G133" s="5" t="s">
        <v>2905</v>
      </c>
      <c r="H133" s="5" t="s">
        <v>2906</v>
      </c>
      <c r="I133" s="5" t="str">
        <f aca="false">HYPERLINK("https://omim.org/entry/262300", "262300")</f>
        <v>262300</v>
      </c>
      <c r="J133" s="5" t="s">
        <v>46</v>
      </c>
      <c r="K133" s="5" t="s">
        <v>46</v>
      </c>
      <c r="L133" s="5" t="s">
        <v>46</v>
      </c>
      <c r="M133" s="5" t="s">
        <v>46</v>
      </c>
      <c r="N133" s="5" t="s">
        <v>46</v>
      </c>
      <c r="O133" s="5" t="s">
        <v>46</v>
      </c>
    </row>
    <row r="134" s="5" customFormat="true" ht="15" hidden="false" customHeight="false" outlineLevel="0" collapsed="false">
      <c r="A134" s="5" t="s">
        <v>2907</v>
      </c>
      <c r="B134" s="5" t="s">
        <v>1986</v>
      </c>
      <c r="C134" s="5" t="s">
        <v>1987</v>
      </c>
      <c r="D134" s="5" t="s">
        <v>1988</v>
      </c>
      <c r="E134" s="5" t="s">
        <v>1989</v>
      </c>
      <c r="F134" s="5" t="s">
        <v>2908</v>
      </c>
      <c r="G134" s="5" t="s">
        <v>2909</v>
      </c>
      <c r="H134" s="5" t="s">
        <v>2910</v>
      </c>
      <c r="I134" s="5" t="str">
        <f aca="false">HYPERLINK("https://omim.org/entry/200100", "200100")</f>
        <v>200100</v>
      </c>
      <c r="J134" s="5" t="s">
        <v>46</v>
      </c>
      <c r="K134" s="5" t="s">
        <v>46</v>
      </c>
      <c r="L134" s="5" t="s">
        <v>46</v>
      </c>
      <c r="M134" s="5" t="s">
        <v>46</v>
      </c>
      <c r="N134" s="5" t="s">
        <v>46</v>
      </c>
      <c r="O134" s="5" t="s">
        <v>46</v>
      </c>
    </row>
    <row r="135" customFormat="false" ht="15" hidden="false" customHeight="false" outlineLevel="0" collapsed="false">
      <c r="A135" s="1" t="s">
        <v>2911</v>
      </c>
      <c r="B135" s="1" t="s">
        <v>30</v>
      </c>
      <c r="C135" s="1" t="s">
        <v>31</v>
      </c>
      <c r="D135" s="1" t="s">
        <v>32</v>
      </c>
      <c r="E135" s="1" t="s">
        <v>33</v>
      </c>
      <c r="F135" s="1" t="s">
        <v>2912</v>
      </c>
      <c r="G135" s="1" t="s">
        <v>2913</v>
      </c>
      <c r="H135" s="1" t="s">
        <v>2914</v>
      </c>
      <c r="I135" s="1" t="s">
        <v>2915</v>
      </c>
      <c r="J135" s="1" t="s">
        <v>2916</v>
      </c>
      <c r="K135" s="1" t="s">
        <v>2917</v>
      </c>
      <c r="L135" s="1" t="s">
        <v>2918</v>
      </c>
      <c r="M135" s="1" t="s">
        <v>2919</v>
      </c>
      <c r="N135" s="1" t="s">
        <v>2920</v>
      </c>
      <c r="O135" s="1" t="s">
        <v>2921</v>
      </c>
    </row>
    <row r="136" customFormat="false" ht="15" hidden="false" customHeight="false" outlineLevel="0" collapsed="false">
      <c r="A136" s="0" t="s">
        <v>2922</v>
      </c>
      <c r="B136" s="0" t="s">
        <v>592</v>
      </c>
      <c r="C136" s="0" t="s">
        <v>593</v>
      </c>
      <c r="D136" s="0" t="s">
        <v>46</v>
      </c>
      <c r="E136" s="0" t="s">
        <v>46</v>
      </c>
      <c r="F136" s="0" t="s">
        <v>46</v>
      </c>
      <c r="G136" s="0" t="s">
        <v>46</v>
      </c>
      <c r="H136" s="0" t="s">
        <v>46</v>
      </c>
      <c r="I136" s="0" t="s">
        <v>46</v>
      </c>
      <c r="J136" s="0" t="s">
        <v>46</v>
      </c>
      <c r="K136" s="0" t="s">
        <v>46</v>
      </c>
      <c r="L136" s="0" t="s">
        <v>46</v>
      </c>
      <c r="M136" s="0" t="s">
        <v>46</v>
      </c>
      <c r="N136" s="0" t="s">
        <v>46</v>
      </c>
      <c r="O136" s="0" t="s">
        <v>46</v>
      </c>
    </row>
    <row r="137" customFormat="false" ht="15" hidden="false" customHeight="false" outlineLevel="0" collapsed="false">
      <c r="A137" s="0" t="s">
        <v>2923</v>
      </c>
      <c r="B137" s="0" t="s">
        <v>342</v>
      </c>
      <c r="C137" s="0" t="s">
        <v>343</v>
      </c>
      <c r="D137" s="0" t="s">
        <v>344</v>
      </c>
      <c r="E137" s="0" t="s">
        <v>46</v>
      </c>
      <c r="F137" s="0" t="s">
        <v>2924</v>
      </c>
      <c r="G137" s="0" t="s">
        <v>2925</v>
      </c>
      <c r="H137" s="0" t="s">
        <v>2926</v>
      </c>
      <c r="I137" s="0" t="s">
        <v>46</v>
      </c>
      <c r="J137" s="0" t="s">
        <v>46</v>
      </c>
      <c r="K137" s="0" t="s">
        <v>46</v>
      </c>
      <c r="L137" s="0" t="s">
        <v>46</v>
      </c>
      <c r="M137" s="0" t="s">
        <v>46</v>
      </c>
      <c r="N137" s="0" t="s">
        <v>46</v>
      </c>
      <c r="O137" s="0" t="s">
        <v>46</v>
      </c>
    </row>
    <row r="138" customFormat="false" ht="15" hidden="false" customHeight="false" outlineLevel="0" collapsed="false">
      <c r="A138" s="0" t="s">
        <v>2927</v>
      </c>
      <c r="B138" s="0" t="s">
        <v>46</v>
      </c>
      <c r="C138" s="0" t="s">
        <v>1899</v>
      </c>
      <c r="D138" s="0" t="s">
        <v>46</v>
      </c>
      <c r="E138" s="0" t="s">
        <v>46</v>
      </c>
      <c r="F138" s="0" t="s">
        <v>46</v>
      </c>
      <c r="G138" s="0" t="s">
        <v>46</v>
      </c>
      <c r="H138" s="0" t="s">
        <v>46</v>
      </c>
      <c r="I138" s="0" t="s">
        <v>46</v>
      </c>
      <c r="J138" s="0" t="s">
        <v>46</v>
      </c>
      <c r="K138" s="0" t="s">
        <v>46</v>
      </c>
      <c r="L138" s="0" t="s">
        <v>46</v>
      </c>
      <c r="M138" s="0" t="s">
        <v>46</v>
      </c>
      <c r="N138" s="0" t="s">
        <v>46</v>
      </c>
      <c r="O138" s="0" t="s">
        <v>46</v>
      </c>
    </row>
    <row r="139" customFormat="false" ht="15" hidden="false" customHeight="false" outlineLevel="0" collapsed="false">
      <c r="A139" s="0" t="s">
        <v>2928</v>
      </c>
      <c r="B139" s="0" t="s">
        <v>640</v>
      </c>
      <c r="C139" s="0" t="s">
        <v>641</v>
      </c>
      <c r="D139" s="0" t="s">
        <v>642</v>
      </c>
      <c r="E139" s="0" t="s">
        <v>46</v>
      </c>
      <c r="F139" s="0" t="s">
        <v>2929</v>
      </c>
      <c r="G139" s="0" t="s">
        <v>2930</v>
      </c>
      <c r="H139" s="0" t="s">
        <v>2931</v>
      </c>
      <c r="I139" s="0" t="s">
        <v>46</v>
      </c>
      <c r="J139" s="0" t="s">
        <v>46</v>
      </c>
      <c r="K139" s="0" t="s">
        <v>46</v>
      </c>
      <c r="L139" s="0" t="s">
        <v>46</v>
      </c>
      <c r="M139" s="0" t="s">
        <v>46</v>
      </c>
      <c r="N139" s="0" t="s">
        <v>46</v>
      </c>
      <c r="O139" s="0" t="s">
        <v>46</v>
      </c>
    </row>
    <row r="140" customFormat="false" ht="15" hidden="false" customHeight="false" outlineLevel="0" collapsed="false">
      <c r="A140" s="0" t="s">
        <v>2932</v>
      </c>
      <c r="B140" s="0" t="s">
        <v>46</v>
      </c>
      <c r="C140" s="0" t="s">
        <v>1956</v>
      </c>
      <c r="D140" s="0" t="s">
        <v>1957</v>
      </c>
      <c r="E140" s="0" t="s">
        <v>46</v>
      </c>
      <c r="F140" s="0" t="s">
        <v>46</v>
      </c>
      <c r="G140" s="0" t="s">
        <v>46</v>
      </c>
      <c r="H140" s="0" t="s">
        <v>46</v>
      </c>
      <c r="I140" s="0" t="s">
        <v>46</v>
      </c>
      <c r="J140" s="0" t="s">
        <v>46</v>
      </c>
      <c r="K140" s="0" t="s">
        <v>46</v>
      </c>
      <c r="L140" s="0" t="s">
        <v>46</v>
      </c>
      <c r="M140" s="0" t="s">
        <v>46</v>
      </c>
      <c r="N140" s="0" t="s">
        <v>46</v>
      </c>
      <c r="O140" s="0" t="s">
        <v>46</v>
      </c>
    </row>
    <row r="141" customFormat="false" ht="15" hidden="false" customHeight="false" outlineLevel="0" collapsed="false">
      <c r="A141" s="0" t="s">
        <v>2933</v>
      </c>
      <c r="B141" s="0" t="s">
        <v>2172</v>
      </c>
      <c r="C141" s="0" t="s">
        <v>2173</v>
      </c>
      <c r="D141" s="0" t="s">
        <v>2174</v>
      </c>
      <c r="E141" s="0" t="s">
        <v>46</v>
      </c>
      <c r="F141" s="0" t="s">
        <v>46</v>
      </c>
      <c r="G141" s="0" t="s">
        <v>2934</v>
      </c>
      <c r="H141" s="0" t="s">
        <v>2935</v>
      </c>
      <c r="I141" s="0" t="s">
        <v>46</v>
      </c>
      <c r="J141" s="0" t="s">
        <v>46</v>
      </c>
      <c r="K141" s="0" t="s">
        <v>46</v>
      </c>
      <c r="L141" s="0" t="s">
        <v>46</v>
      </c>
      <c r="M141" s="0" t="s">
        <v>46</v>
      </c>
      <c r="N141" s="0" t="s">
        <v>46</v>
      </c>
      <c r="O141" s="0" t="s">
        <v>46</v>
      </c>
    </row>
    <row r="142" customFormat="false" ht="15" hidden="false" customHeight="false" outlineLevel="0" collapsed="false">
      <c r="A142" s="0" t="s">
        <v>2936</v>
      </c>
      <c r="B142" s="0" t="s">
        <v>1126</v>
      </c>
      <c r="C142" s="0" t="s">
        <v>1127</v>
      </c>
      <c r="D142" s="0" t="s">
        <v>1128</v>
      </c>
      <c r="E142" s="0" t="s">
        <v>46</v>
      </c>
      <c r="F142" s="0" t="s">
        <v>46</v>
      </c>
      <c r="G142" s="0" t="s">
        <v>2937</v>
      </c>
      <c r="H142" s="0" t="s">
        <v>2938</v>
      </c>
      <c r="I142" s="0" t="s">
        <v>46</v>
      </c>
      <c r="J142" s="0" t="s">
        <v>46</v>
      </c>
      <c r="K142" s="0" t="s">
        <v>46</v>
      </c>
      <c r="L142" s="0" t="s">
        <v>46</v>
      </c>
      <c r="M142" s="0" t="s">
        <v>46</v>
      </c>
      <c r="N142" s="0" t="s">
        <v>46</v>
      </c>
      <c r="O142" s="0" t="s">
        <v>46</v>
      </c>
    </row>
    <row r="143" customFormat="false" ht="15" hidden="false" customHeight="false" outlineLevel="0" collapsed="false">
      <c r="A143" s="0" t="s">
        <v>2939</v>
      </c>
      <c r="B143" s="0" t="s">
        <v>46</v>
      </c>
      <c r="C143" s="0" t="s">
        <v>2940</v>
      </c>
      <c r="D143" s="0" t="s">
        <v>46</v>
      </c>
      <c r="E143" s="0" t="s">
        <v>46</v>
      </c>
      <c r="F143" s="0" t="s">
        <v>46</v>
      </c>
      <c r="G143" s="0" t="s">
        <v>46</v>
      </c>
      <c r="H143" s="0" t="s">
        <v>46</v>
      </c>
      <c r="I143" s="0" t="s">
        <v>46</v>
      </c>
      <c r="J143" s="0" t="s">
        <v>46</v>
      </c>
      <c r="K143" s="0" t="s">
        <v>46</v>
      </c>
      <c r="L143" s="0" t="s">
        <v>46</v>
      </c>
      <c r="M143" s="0" t="s">
        <v>46</v>
      </c>
      <c r="N143" s="0" t="s">
        <v>46</v>
      </c>
      <c r="O143" s="0" t="s">
        <v>46</v>
      </c>
    </row>
    <row r="144" customFormat="false" ht="15" hidden="false" customHeight="false" outlineLevel="0" collapsed="false">
      <c r="A144" s="0" t="s">
        <v>2941</v>
      </c>
      <c r="B144" s="0" t="s">
        <v>1824</v>
      </c>
      <c r="C144" s="0" t="s">
        <v>1825</v>
      </c>
      <c r="D144" s="0" t="s">
        <v>1826</v>
      </c>
      <c r="E144" s="0" t="s">
        <v>46</v>
      </c>
      <c r="F144" s="0" t="s">
        <v>2942</v>
      </c>
      <c r="G144" s="0" t="s">
        <v>2943</v>
      </c>
      <c r="H144" s="0" t="s">
        <v>2944</v>
      </c>
      <c r="I144" s="0" t="s">
        <v>46</v>
      </c>
      <c r="J144" s="0" t="s">
        <v>46</v>
      </c>
      <c r="K144" s="0" t="s">
        <v>46</v>
      </c>
      <c r="L144" s="0" t="s">
        <v>46</v>
      </c>
      <c r="M144" s="0" t="s">
        <v>46</v>
      </c>
      <c r="N144" s="0" t="s">
        <v>46</v>
      </c>
      <c r="O144" s="0" t="s">
        <v>46</v>
      </c>
    </row>
    <row r="145" customFormat="false" ht="15" hidden="false" customHeight="false" outlineLevel="0" collapsed="false">
      <c r="A145" s="0" t="s">
        <v>2945</v>
      </c>
      <c r="B145" s="0" t="s">
        <v>674</v>
      </c>
      <c r="C145" s="0" t="s">
        <v>675</v>
      </c>
      <c r="D145" s="0" t="s">
        <v>46</v>
      </c>
      <c r="E145" s="0" t="s">
        <v>46</v>
      </c>
      <c r="F145" s="0" t="s">
        <v>46</v>
      </c>
      <c r="G145" s="0" t="s">
        <v>2946</v>
      </c>
      <c r="H145" s="0" t="s">
        <v>2947</v>
      </c>
      <c r="I145" s="0" t="s">
        <v>46</v>
      </c>
      <c r="J145" s="0" t="s">
        <v>46</v>
      </c>
      <c r="K145" s="0" t="s">
        <v>46</v>
      </c>
      <c r="L145" s="0" t="s">
        <v>46</v>
      </c>
      <c r="M145" s="0" t="s">
        <v>46</v>
      </c>
      <c r="N145" s="0" t="s">
        <v>46</v>
      </c>
      <c r="O145" s="0" t="s">
        <v>46</v>
      </c>
    </row>
    <row r="146" customFormat="false" ht="15" hidden="false" customHeight="false" outlineLevel="0" collapsed="false">
      <c r="A146" s="0" t="s">
        <v>2948</v>
      </c>
      <c r="B146" s="0" t="s">
        <v>46</v>
      </c>
      <c r="C146" s="0" t="s">
        <v>1576</v>
      </c>
      <c r="D146" s="0" t="s">
        <v>46</v>
      </c>
      <c r="E146" s="0" t="s">
        <v>46</v>
      </c>
      <c r="F146" s="0" t="s">
        <v>46</v>
      </c>
      <c r="G146" s="0" t="s">
        <v>2949</v>
      </c>
      <c r="H146" s="0" t="s">
        <v>46</v>
      </c>
      <c r="I146" s="0" t="s">
        <v>46</v>
      </c>
      <c r="J146" s="0" t="s">
        <v>46</v>
      </c>
      <c r="K146" s="0" t="s">
        <v>46</v>
      </c>
      <c r="L146" s="0" t="s">
        <v>46</v>
      </c>
      <c r="M146" s="0" t="s">
        <v>46</v>
      </c>
      <c r="N146" s="0" t="s">
        <v>46</v>
      </c>
      <c r="O146" s="0" t="s">
        <v>46</v>
      </c>
    </row>
    <row r="147" customFormat="false" ht="15" hidden="false" customHeight="false" outlineLevel="0" collapsed="false">
      <c r="A147" s="0" t="s">
        <v>2950</v>
      </c>
      <c r="B147" s="0" t="s">
        <v>46</v>
      </c>
      <c r="C147" s="0" t="s">
        <v>1534</v>
      </c>
      <c r="D147" s="0" t="s">
        <v>46</v>
      </c>
      <c r="E147" s="0" t="s">
        <v>46</v>
      </c>
      <c r="F147" s="0" t="s">
        <v>46</v>
      </c>
      <c r="G147" s="0" t="s">
        <v>46</v>
      </c>
      <c r="H147" s="0" t="s">
        <v>46</v>
      </c>
      <c r="I147" s="0" t="s">
        <v>46</v>
      </c>
      <c r="J147" s="0" t="s">
        <v>46</v>
      </c>
      <c r="K147" s="0" t="s">
        <v>46</v>
      </c>
      <c r="L147" s="0" t="s">
        <v>46</v>
      </c>
      <c r="M147" s="0" t="s">
        <v>46</v>
      </c>
      <c r="N147" s="0" t="s">
        <v>46</v>
      </c>
      <c r="O147" s="0" t="s">
        <v>46</v>
      </c>
    </row>
    <row r="148" customFormat="false" ht="15" hidden="false" customHeight="false" outlineLevel="0" collapsed="false">
      <c r="A148" s="0" t="s">
        <v>2951</v>
      </c>
      <c r="B148" s="0" t="s">
        <v>46</v>
      </c>
      <c r="C148" s="0" t="s">
        <v>443</v>
      </c>
      <c r="D148" s="0" t="s">
        <v>46</v>
      </c>
      <c r="E148" s="0" t="s">
        <v>46</v>
      </c>
      <c r="F148" s="0" t="s">
        <v>46</v>
      </c>
      <c r="G148" s="0" t="s">
        <v>2952</v>
      </c>
      <c r="H148" s="0" t="s">
        <v>46</v>
      </c>
      <c r="I148" s="0" t="s">
        <v>46</v>
      </c>
      <c r="J148" s="0" t="s">
        <v>46</v>
      </c>
      <c r="K148" s="0" t="s">
        <v>46</v>
      </c>
      <c r="L148" s="0" t="s">
        <v>46</v>
      </c>
      <c r="M148" s="0" t="s">
        <v>46</v>
      </c>
      <c r="N148" s="0" t="s">
        <v>46</v>
      </c>
      <c r="O148" s="0" t="s">
        <v>46</v>
      </c>
    </row>
    <row r="149" customFormat="false" ht="15" hidden="false" customHeight="false" outlineLevel="0" collapsed="false">
      <c r="A149" s="0" t="s">
        <v>2953</v>
      </c>
      <c r="B149" s="0" t="s">
        <v>46</v>
      </c>
      <c r="C149" s="0" t="s">
        <v>2954</v>
      </c>
      <c r="D149" s="0" t="s">
        <v>46</v>
      </c>
      <c r="E149" s="0" t="s">
        <v>46</v>
      </c>
      <c r="F149" s="0" t="s">
        <v>46</v>
      </c>
      <c r="G149" s="0" t="s">
        <v>46</v>
      </c>
      <c r="H149" s="0" t="s">
        <v>46</v>
      </c>
      <c r="I149" s="0" t="s">
        <v>46</v>
      </c>
      <c r="J149" s="0" t="s">
        <v>46</v>
      </c>
      <c r="K149" s="0" t="s">
        <v>46</v>
      </c>
      <c r="L149" s="0" t="s">
        <v>46</v>
      </c>
      <c r="M149" s="0" t="s">
        <v>46</v>
      </c>
      <c r="N149" s="0" t="s">
        <v>46</v>
      </c>
      <c r="O149" s="0" t="s">
        <v>46</v>
      </c>
    </row>
    <row r="150" customFormat="false" ht="15" hidden="false" customHeight="false" outlineLevel="0" collapsed="false">
      <c r="A150" s="0" t="s">
        <v>2955</v>
      </c>
      <c r="B150" s="0" t="s">
        <v>966</v>
      </c>
      <c r="C150" s="0" t="s">
        <v>967</v>
      </c>
      <c r="D150" s="0" t="s">
        <v>968</v>
      </c>
      <c r="E150" s="0" t="s">
        <v>46</v>
      </c>
      <c r="F150" s="0" t="s">
        <v>2956</v>
      </c>
      <c r="G150" s="0" t="s">
        <v>2957</v>
      </c>
      <c r="H150" s="0" t="s">
        <v>46</v>
      </c>
      <c r="I150" s="0" t="s">
        <v>46</v>
      </c>
      <c r="J150" s="0" t="s">
        <v>46</v>
      </c>
      <c r="K150" s="0" t="s">
        <v>46</v>
      </c>
      <c r="L150" s="0" t="s">
        <v>46</v>
      </c>
      <c r="M150" s="0" t="s">
        <v>46</v>
      </c>
      <c r="N150" s="0" t="s">
        <v>46</v>
      </c>
      <c r="O150" s="0" t="s">
        <v>46</v>
      </c>
    </row>
    <row r="151" customFormat="false" ht="15" hidden="false" customHeight="false" outlineLevel="0" collapsed="false">
      <c r="A151" s="0" t="s">
        <v>2958</v>
      </c>
      <c r="B151" s="0" t="s">
        <v>2399</v>
      </c>
      <c r="C151" s="0" t="s">
        <v>2400</v>
      </c>
      <c r="D151" s="0" t="s">
        <v>46</v>
      </c>
      <c r="E151" s="0" t="s">
        <v>46</v>
      </c>
      <c r="F151" s="0" t="s">
        <v>2959</v>
      </c>
      <c r="G151" s="0" t="s">
        <v>2960</v>
      </c>
      <c r="H151" s="0" t="s">
        <v>2961</v>
      </c>
      <c r="I151" s="0" t="s">
        <v>46</v>
      </c>
      <c r="J151" s="0" t="s">
        <v>46</v>
      </c>
      <c r="K151" s="0" t="s">
        <v>46</v>
      </c>
      <c r="L151" s="0" t="s">
        <v>46</v>
      </c>
      <c r="M151" s="0" t="s">
        <v>46</v>
      </c>
      <c r="N151" s="0" t="s">
        <v>46</v>
      </c>
      <c r="O151" s="0" t="s">
        <v>46</v>
      </c>
    </row>
    <row r="152" customFormat="false" ht="15" hidden="false" customHeight="false" outlineLevel="0" collapsed="false">
      <c r="A152" s="0" t="s">
        <v>2962</v>
      </c>
      <c r="B152" s="0" t="s">
        <v>2252</v>
      </c>
      <c r="C152" s="0" t="s">
        <v>2253</v>
      </c>
      <c r="D152" s="0" t="s">
        <v>2254</v>
      </c>
      <c r="E152" s="0" t="s">
        <v>46</v>
      </c>
      <c r="F152" s="0" t="s">
        <v>2963</v>
      </c>
      <c r="G152" s="0" t="s">
        <v>2964</v>
      </c>
      <c r="H152" s="0" t="s">
        <v>2965</v>
      </c>
      <c r="I152" s="0" t="s">
        <v>46</v>
      </c>
      <c r="J152" s="0" t="s">
        <v>46</v>
      </c>
      <c r="K152" s="0" t="s">
        <v>46</v>
      </c>
      <c r="L152" s="0" t="s">
        <v>46</v>
      </c>
      <c r="M152" s="0" t="s">
        <v>46</v>
      </c>
      <c r="N152" s="0" t="s">
        <v>46</v>
      </c>
      <c r="O152" s="0" t="s">
        <v>46</v>
      </c>
    </row>
    <row r="153" customFormat="false" ht="15" hidden="false" customHeight="false" outlineLevel="0" collapsed="false">
      <c r="A153" s="0" t="s">
        <v>2966</v>
      </c>
      <c r="B153" s="0" t="s">
        <v>1214</v>
      </c>
      <c r="C153" s="0" t="s">
        <v>1215</v>
      </c>
      <c r="D153" s="0" t="s">
        <v>46</v>
      </c>
      <c r="E153" s="0" t="s">
        <v>46</v>
      </c>
      <c r="F153" s="0" t="s">
        <v>46</v>
      </c>
      <c r="G153" s="0" t="s">
        <v>2967</v>
      </c>
      <c r="H153" s="0" t="s">
        <v>2968</v>
      </c>
      <c r="I153" s="0" t="s">
        <v>46</v>
      </c>
      <c r="J153" s="0" t="s">
        <v>46</v>
      </c>
      <c r="K153" s="0" t="s">
        <v>46</v>
      </c>
      <c r="L153" s="0" t="s">
        <v>46</v>
      </c>
      <c r="M153" s="0" t="s">
        <v>46</v>
      </c>
      <c r="N153" s="0" t="s">
        <v>46</v>
      </c>
      <c r="O153" s="0" t="s">
        <v>46</v>
      </c>
    </row>
    <row r="154" customFormat="false" ht="15" hidden="false" customHeight="false" outlineLevel="0" collapsed="false">
      <c r="A154" s="0" t="s">
        <v>2969</v>
      </c>
      <c r="B154" s="0" t="s">
        <v>2042</v>
      </c>
      <c r="C154" s="0" t="s">
        <v>2043</v>
      </c>
      <c r="D154" s="0" t="s">
        <v>2044</v>
      </c>
      <c r="E154" s="0" t="s">
        <v>46</v>
      </c>
      <c r="F154" s="0" t="s">
        <v>2970</v>
      </c>
      <c r="G154" s="0" t="s">
        <v>2971</v>
      </c>
      <c r="H154" s="0" t="s">
        <v>2972</v>
      </c>
      <c r="I154" s="0" t="s">
        <v>46</v>
      </c>
      <c r="J154" s="0" t="s">
        <v>46</v>
      </c>
      <c r="K154" s="0" t="s">
        <v>46</v>
      </c>
      <c r="L154" s="0" t="s">
        <v>46</v>
      </c>
      <c r="M154" s="0" t="s">
        <v>46</v>
      </c>
      <c r="N154" s="0" t="s">
        <v>46</v>
      </c>
      <c r="O154" s="0" t="s">
        <v>46</v>
      </c>
    </row>
    <row r="155" customFormat="false" ht="15" hidden="false" customHeight="false" outlineLevel="0" collapsed="false">
      <c r="A155" s="0" t="s">
        <v>2973</v>
      </c>
      <c r="B155" s="0" t="s">
        <v>46</v>
      </c>
      <c r="C155" s="0" t="s">
        <v>2974</v>
      </c>
      <c r="D155" s="0" t="s">
        <v>46</v>
      </c>
      <c r="E155" s="0" t="s">
        <v>46</v>
      </c>
      <c r="F155" s="0" t="s">
        <v>46</v>
      </c>
      <c r="G155" s="0" t="s">
        <v>46</v>
      </c>
      <c r="H155" s="0" t="s">
        <v>46</v>
      </c>
      <c r="I155" s="0" t="s">
        <v>46</v>
      </c>
      <c r="J155" s="0" t="s">
        <v>46</v>
      </c>
      <c r="K155" s="0" t="s">
        <v>46</v>
      </c>
      <c r="L155" s="0" t="s">
        <v>46</v>
      </c>
      <c r="M155" s="0" t="s">
        <v>46</v>
      </c>
      <c r="N155" s="0" t="s">
        <v>46</v>
      </c>
      <c r="O155" s="0" t="s">
        <v>46</v>
      </c>
    </row>
    <row r="156" customFormat="false" ht="15" hidden="false" customHeight="false" outlineLevel="0" collapsed="false">
      <c r="A156" s="0" t="s">
        <v>2975</v>
      </c>
      <c r="B156" s="0" t="s">
        <v>954</v>
      </c>
      <c r="C156" s="0" t="s">
        <v>955</v>
      </c>
      <c r="D156" s="0" t="s">
        <v>956</v>
      </c>
      <c r="E156" s="0" t="s">
        <v>46</v>
      </c>
      <c r="F156" s="0" t="s">
        <v>2976</v>
      </c>
      <c r="G156" s="0" t="s">
        <v>2977</v>
      </c>
      <c r="H156" s="0" t="s">
        <v>2978</v>
      </c>
      <c r="I156" s="0" t="s">
        <v>46</v>
      </c>
      <c r="J156" s="0" t="s">
        <v>46</v>
      </c>
      <c r="K156" s="0" t="s">
        <v>46</v>
      </c>
      <c r="L156" s="0" t="s">
        <v>46</v>
      </c>
      <c r="M156" s="0" t="s">
        <v>46</v>
      </c>
      <c r="N156" s="0" t="s">
        <v>46</v>
      </c>
      <c r="O156" s="0" t="s">
        <v>46</v>
      </c>
    </row>
    <row r="157" customFormat="false" ht="15" hidden="false" customHeight="false" outlineLevel="0" collapsed="false">
      <c r="A157" s="0" t="s">
        <v>2979</v>
      </c>
      <c r="B157" s="0" t="s">
        <v>2980</v>
      </c>
      <c r="C157" s="0" t="s">
        <v>2981</v>
      </c>
      <c r="D157" s="0" t="s">
        <v>2982</v>
      </c>
      <c r="E157" s="0" t="s">
        <v>46</v>
      </c>
      <c r="F157" s="0" t="s">
        <v>2983</v>
      </c>
      <c r="G157" s="0" t="s">
        <v>2984</v>
      </c>
      <c r="H157" s="0" t="s">
        <v>2885</v>
      </c>
      <c r="I157" s="0" t="s">
        <v>46</v>
      </c>
      <c r="J157" s="0" t="s">
        <v>46</v>
      </c>
      <c r="K157" s="0" t="s">
        <v>46</v>
      </c>
      <c r="L157" s="0" t="s">
        <v>46</v>
      </c>
      <c r="M157" s="0" t="s">
        <v>46</v>
      </c>
      <c r="N157" s="0" t="s">
        <v>46</v>
      </c>
      <c r="O157" s="0" t="s">
        <v>46</v>
      </c>
    </row>
    <row r="158" customFormat="false" ht="15" hidden="false" customHeight="false" outlineLevel="0" collapsed="false">
      <c r="A158" s="0" t="s">
        <v>2985</v>
      </c>
      <c r="B158" s="0" t="s">
        <v>1298</v>
      </c>
      <c r="C158" s="0" t="s">
        <v>1299</v>
      </c>
      <c r="D158" s="0" t="s">
        <v>1300</v>
      </c>
      <c r="E158" s="0" t="s">
        <v>46</v>
      </c>
      <c r="F158" s="0" t="s">
        <v>46</v>
      </c>
      <c r="G158" s="0" t="s">
        <v>46</v>
      </c>
      <c r="H158" s="0" t="s">
        <v>46</v>
      </c>
      <c r="I158" s="0" t="s">
        <v>46</v>
      </c>
      <c r="J158" s="0" t="s">
        <v>46</v>
      </c>
      <c r="K158" s="0" t="s">
        <v>46</v>
      </c>
      <c r="L158" s="0" t="s">
        <v>46</v>
      </c>
      <c r="M158" s="0" t="s">
        <v>46</v>
      </c>
      <c r="N158" s="0" t="s">
        <v>46</v>
      </c>
      <c r="O158" s="0" t="s">
        <v>46</v>
      </c>
    </row>
    <row r="159" customFormat="false" ht="15" hidden="false" customHeight="false" outlineLevel="0" collapsed="false">
      <c r="A159" s="0" t="s">
        <v>2986</v>
      </c>
      <c r="B159" s="0" t="s">
        <v>46</v>
      </c>
      <c r="C159" s="0" t="s">
        <v>585</v>
      </c>
      <c r="D159" s="0" t="s">
        <v>586</v>
      </c>
      <c r="E159" s="0" t="s">
        <v>46</v>
      </c>
      <c r="F159" s="0" t="s">
        <v>2987</v>
      </c>
      <c r="G159" s="0" t="s">
        <v>46</v>
      </c>
      <c r="H159" s="0" t="s">
        <v>46</v>
      </c>
      <c r="I159" s="0" t="s">
        <v>46</v>
      </c>
      <c r="J159" s="0" t="s">
        <v>46</v>
      </c>
      <c r="K159" s="0" t="s">
        <v>46</v>
      </c>
      <c r="L159" s="0" t="s">
        <v>46</v>
      </c>
      <c r="M159" s="0" t="s">
        <v>46</v>
      </c>
      <c r="N159" s="0" t="s">
        <v>46</v>
      </c>
      <c r="O159" s="0" t="s">
        <v>46</v>
      </c>
    </row>
    <row r="160" customFormat="false" ht="15" hidden="false" customHeight="false" outlineLevel="0" collapsed="false">
      <c r="A160" s="0" t="s">
        <v>2988</v>
      </c>
      <c r="B160" s="0" t="s">
        <v>46</v>
      </c>
      <c r="C160" s="0" t="s">
        <v>2126</v>
      </c>
      <c r="D160" s="0" t="s">
        <v>2127</v>
      </c>
      <c r="E160" s="0" t="s">
        <v>46</v>
      </c>
      <c r="F160" s="0" t="s">
        <v>2624</v>
      </c>
      <c r="G160" s="0" t="s">
        <v>2989</v>
      </c>
      <c r="H160" s="0" t="s">
        <v>2990</v>
      </c>
      <c r="I160" s="0" t="s">
        <v>46</v>
      </c>
      <c r="J160" s="0" t="s">
        <v>46</v>
      </c>
      <c r="K160" s="0" t="s">
        <v>46</v>
      </c>
      <c r="L160" s="0" t="s">
        <v>46</v>
      </c>
      <c r="M160" s="0" t="s">
        <v>46</v>
      </c>
      <c r="N160" s="0" t="s">
        <v>46</v>
      </c>
      <c r="O160" s="0" t="s">
        <v>46</v>
      </c>
    </row>
    <row r="161" customFormat="false" ht="15" hidden="false" customHeight="false" outlineLevel="0" collapsed="false">
      <c r="A161" s="0" t="s">
        <v>2991</v>
      </c>
      <c r="B161" s="0" t="s">
        <v>2408</v>
      </c>
      <c r="C161" s="0" t="s">
        <v>2409</v>
      </c>
      <c r="D161" s="0" t="s">
        <v>2410</v>
      </c>
      <c r="E161" s="0" t="s">
        <v>46</v>
      </c>
      <c r="F161" s="0" t="s">
        <v>2992</v>
      </c>
      <c r="G161" s="0" t="s">
        <v>2993</v>
      </c>
      <c r="H161" s="0" t="s">
        <v>2994</v>
      </c>
      <c r="I161" s="0" t="s">
        <v>46</v>
      </c>
      <c r="J161" s="0" t="s">
        <v>46</v>
      </c>
      <c r="K161" s="0" t="s">
        <v>46</v>
      </c>
      <c r="L161" s="0" t="s">
        <v>46</v>
      </c>
      <c r="M161" s="0" t="s">
        <v>46</v>
      </c>
      <c r="N161" s="0" t="s">
        <v>46</v>
      </c>
      <c r="O161" s="0" t="s">
        <v>46</v>
      </c>
    </row>
    <row r="162" customFormat="false" ht="15" hidden="false" customHeight="false" outlineLevel="0" collapsed="false">
      <c r="A162" s="0" t="s">
        <v>2995</v>
      </c>
      <c r="B162" s="0" t="s">
        <v>46</v>
      </c>
      <c r="C162" s="0" t="s">
        <v>2996</v>
      </c>
      <c r="D162" s="0" t="s">
        <v>46</v>
      </c>
      <c r="E162" s="0" t="s">
        <v>46</v>
      </c>
      <c r="F162" s="0" t="s">
        <v>46</v>
      </c>
      <c r="G162" s="0" t="s">
        <v>46</v>
      </c>
      <c r="H162" s="0" t="s">
        <v>46</v>
      </c>
      <c r="I162" s="0" t="s">
        <v>46</v>
      </c>
      <c r="J162" s="0" t="s">
        <v>46</v>
      </c>
      <c r="K162" s="0" t="s">
        <v>46</v>
      </c>
      <c r="L162" s="0" t="s">
        <v>46</v>
      </c>
      <c r="M162" s="0" t="s">
        <v>46</v>
      </c>
      <c r="N162" s="0" t="s">
        <v>46</v>
      </c>
      <c r="O162" s="0" t="s">
        <v>46</v>
      </c>
    </row>
    <row r="163" customFormat="false" ht="15" hidden="false" customHeight="false" outlineLevel="0" collapsed="false">
      <c r="A163" s="0" t="s">
        <v>2997</v>
      </c>
      <c r="B163" s="0" t="s">
        <v>1677</v>
      </c>
      <c r="C163" s="0" t="s">
        <v>1678</v>
      </c>
      <c r="D163" s="0" t="s">
        <v>1679</v>
      </c>
      <c r="E163" s="0" t="s">
        <v>46</v>
      </c>
      <c r="F163" s="0" t="s">
        <v>2998</v>
      </c>
      <c r="G163" s="0" t="s">
        <v>2999</v>
      </c>
      <c r="H163" s="0" t="s">
        <v>3000</v>
      </c>
      <c r="I163" s="0" t="s">
        <v>46</v>
      </c>
      <c r="J163" s="0" t="s">
        <v>46</v>
      </c>
      <c r="K163" s="0" t="s">
        <v>46</v>
      </c>
      <c r="L163" s="0" t="s">
        <v>46</v>
      </c>
      <c r="M163" s="0" t="s">
        <v>46</v>
      </c>
      <c r="N163" s="0" t="s">
        <v>46</v>
      </c>
      <c r="O163" s="0" t="s">
        <v>46</v>
      </c>
    </row>
    <row r="164" customFormat="false" ht="15" hidden="false" customHeight="false" outlineLevel="0" collapsed="false">
      <c r="A164" s="0" t="s">
        <v>3001</v>
      </c>
      <c r="B164" s="0" t="s">
        <v>818</v>
      </c>
      <c r="C164" s="0" t="s">
        <v>819</v>
      </c>
      <c r="D164" s="0" t="s">
        <v>820</v>
      </c>
      <c r="E164" s="0" t="s">
        <v>46</v>
      </c>
      <c r="F164" s="0" t="s">
        <v>3002</v>
      </c>
      <c r="G164" s="0" t="s">
        <v>3003</v>
      </c>
      <c r="H164" s="0" t="s">
        <v>3004</v>
      </c>
      <c r="I164" s="0" t="s">
        <v>46</v>
      </c>
      <c r="J164" s="0" t="s">
        <v>46</v>
      </c>
      <c r="K164" s="0" t="s">
        <v>46</v>
      </c>
      <c r="L164" s="0" t="s">
        <v>46</v>
      </c>
      <c r="M164" s="0" t="s">
        <v>46</v>
      </c>
      <c r="N164" s="0" t="s">
        <v>46</v>
      </c>
      <c r="O164" s="0" t="s">
        <v>46</v>
      </c>
    </row>
    <row r="165" customFormat="false" ht="15" hidden="false" customHeight="false" outlineLevel="0" collapsed="false">
      <c r="A165" s="0" t="s">
        <v>3005</v>
      </c>
      <c r="B165" s="0" t="s">
        <v>46</v>
      </c>
      <c r="C165" s="0" t="s">
        <v>754</v>
      </c>
      <c r="D165" s="0" t="s">
        <v>46</v>
      </c>
      <c r="E165" s="0" t="s">
        <v>46</v>
      </c>
      <c r="F165" s="0" t="s">
        <v>46</v>
      </c>
      <c r="G165" s="0" t="s">
        <v>46</v>
      </c>
      <c r="H165" s="0" t="s">
        <v>46</v>
      </c>
      <c r="I165" s="0" t="s">
        <v>46</v>
      </c>
      <c r="J165" s="0" t="s">
        <v>46</v>
      </c>
      <c r="K165" s="0" t="s">
        <v>46</v>
      </c>
      <c r="L165" s="0" t="s">
        <v>46</v>
      </c>
      <c r="M165" s="0" t="s">
        <v>46</v>
      </c>
      <c r="N165" s="0" t="s">
        <v>46</v>
      </c>
      <c r="O165" s="0" t="s">
        <v>46</v>
      </c>
    </row>
    <row r="166" customFormat="false" ht="15" hidden="false" customHeight="false" outlineLevel="0" collapsed="false">
      <c r="A166" s="0" t="s">
        <v>3006</v>
      </c>
      <c r="B166" s="0" t="s">
        <v>3007</v>
      </c>
      <c r="C166" s="0" t="s">
        <v>3008</v>
      </c>
      <c r="D166" s="0" t="s">
        <v>46</v>
      </c>
      <c r="E166" s="0" t="s">
        <v>46</v>
      </c>
      <c r="F166" s="0" t="s">
        <v>46</v>
      </c>
      <c r="G166" s="0" t="s">
        <v>46</v>
      </c>
      <c r="H166" s="0" t="s">
        <v>46</v>
      </c>
      <c r="I166" s="0" t="s">
        <v>46</v>
      </c>
      <c r="J166" s="0" t="s">
        <v>46</v>
      </c>
      <c r="K166" s="0" t="s">
        <v>46</v>
      </c>
      <c r="L166" s="0" t="s">
        <v>46</v>
      </c>
      <c r="M166" s="0" t="s">
        <v>46</v>
      </c>
      <c r="N166" s="0" t="s">
        <v>46</v>
      </c>
      <c r="O166" s="0" t="s">
        <v>46</v>
      </c>
    </row>
    <row r="167" customFormat="false" ht="15" hidden="false" customHeight="false" outlineLevel="0" collapsed="false">
      <c r="A167" s="0" t="s">
        <v>3009</v>
      </c>
      <c r="B167" s="0" t="s">
        <v>658</v>
      </c>
      <c r="C167" s="0" t="s">
        <v>659</v>
      </c>
      <c r="D167" s="0" t="s">
        <v>46</v>
      </c>
      <c r="E167" s="0" t="s">
        <v>46</v>
      </c>
      <c r="F167" s="0" t="s">
        <v>46</v>
      </c>
      <c r="G167" s="0" t="s">
        <v>3010</v>
      </c>
      <c r="H167" s="0" t="s">
        <v>3011</v>
      </c>
      <c r="I167" s="0" t="s">
        <v>46</v>
      </c>
      <c r="J167" s="0" t="s">
        <v>46</v>
      </c>
      <c r="K167" s="0" t="s">
        <v>46</v>
      </c>
      <c r="L167" s="0" t="s">
        <v>46</v>
      </c>
      <c r="M167" s="0" t="s">
        <v>46</v>
      </c>
      <c r="N167" s="0" t="s">
        <v>46</v>
      </c>
      <c r="O167" s="0" t="s">
        <v>46</v>
      </c>
    </row>
    <row r="168" customFormat="false" ht="15" hidden="false" customHeight="false" outlineLevel="0" collapsed="false">
      <c r="A168" s="0" t="s">
        <v>3012</v>
      </c>
      <c r="B168" s="0" t="s">
        <v>636</v>
      </c>
      <c r="C168" s="0" t="s">
        <v>637</v>
      </c>
      <c r="D168" s="0" t="s">
        <v>46</v>
      </c>
      <c r="E168" s="0" t="s">
        <v>46</v>
      </c>
      <c r="F168" s="0" t="s">
        <v>46</v>
      </c>
      <c r="G168" s="0" t="s">
        <v>46</v>
      </c>
      <c r="H168" s="0" t="s">
        <v>46</v>
      </c>
      <c r="I168" s="0" t="s">
        <v>46</v>
      </c>
      <c r="J168" s="0" t="s">
        <v>46</v>
      </c>
      <c r="K168" s="0" t="s">
        <v>46</v>
      </c>
      <c r="L168" s="0" t="s">
        <v>46</v>
      </c>
      <c r="M168" s="0" t="s">
        <v>46</v>
      </c>
      <c r="N168" s="0" t="s">
        <v>46</v>
      </c>
      <c r="O168" s="0" t="s">
        <v>46</v>
      </c>
    </row>
    <row r="169" customFormat="false" ht="15" hidden="false" customHeight="false" outlineLevel="0" collapsed="false">
      <c r="A169" s="0" t="s">
        <v>3013</v>
      </c>
      <c r="B169" s="0" t="s">
        <v>46</v>
      </c>
      <c r="C169" s="0" t="s">
        <v>1842</v>
      </c>
      <c r="D169" s="0" t="s">
        <v>46</v>
      </c>
      <c r="E169" s="0" t="s">
        <v>46</v>
      </c>
      <c r="F169" s="0" t="s">
        <v>46</v>
      </c>
      <c r="G169" s="0" t="s">
        <v>46</v>
      </c>
      <c r="H169" s="0" t="s">
        <v>46</v>
      </c>
      <c r="I169" s="0" t="s">
        <v>46</v>
      </c>
      <c r="J169" s="0" t="s">
        <v>46</v>
      </c>
      <c r="K169" s="0" t="s">
        <v>46</v>
      </c>
      <c r="L169" s="0" t="s">
        <v>46</v>
      </c>
      <c r="M169" s="0" t="s">
        <v>46</v>
      </c>
      <c r="N169" s="0" t="s">
        <v>46</v>
      </c>
      <c r="O169" s="0" t="s">
        <v>46</v>
      </c>
    </row>
    <row r="170" customFormat="false" ht="15" hidden="false" customHeight="false" outlineLevel="0" collapsed="false">
      <c r="A170" s="0" t="s">
        <v>3014</v>
      </c>
      <c r="B170" s="0" t="s">
        <v>1963</v>
      </c>
      <c r="C170" s="0" t="s">
        <v>1964</v>
      </c>
      <c r="D170" s="0" t="s">
        <v>46</v>
      </c>
      <c r="E170" s="0" t="s">
        <v>46</v>
      </c>
      <c r="F170" s="0" t="s">
        <v>46</v>
      </c>
      <c r="G170" s="0" t="s">
        <v>3015</v>
      </c>
      <c r="H170" s="0" t="s">
        <v>3016</v>
      </c>
      <c r="I170" s="0" t="s">
        <v>46</v>
      </c>
      <c r="J170" s="0" t="s">
        <v>46</v>
      </c>
      <c r="K170" s="0" t="s">
        <v>46</v>
      </c>
      <c r="L170" s="0" t="s">
        <v>46</v>
      </c>
      <c r="M170" s="0" t="s">
        <v>46</v>
      </c>
      <c r="N170" s="0" t="s">
        <v>46</v>
      </c>
      <c r="O170" s="0" t="s">
        <v>46</v>
      </c>
    </row>
    <row r="171" customFormat="false" ht="15" hidden="false" customHeight="false" outlineLevel="0" collapsed="false">
      <c r="A171" s="0" t="s">
        <v>3017</v>
      </c>
      <c r="B171" s="0" t="s">
        <v>1935</v>
      </c>
      <c r="C171" s="0" t="s">
        <v>1936</v>
      </c>
      <c r="D171" s="0" t="s">
        <v>46</v>
      </c>
      <c r="E171" s="0" t="s">
        <v>46</v>
      </c>
      <c r="F171" s="0" t="s">
        <v>46</v>
      </c>
      <c r="G171" s="0" t="s">
        <v>3018</v>
      </c>
      <c r="H171" s="0" t="s">
        <v>46</v>
      </c>
      <c r="I171" s="0" t="s">
        <v>46</v>
      </c>
      <c r="J171" s="0" t="s">
        <v>46</v>
      </c>
      <c r="K171" s="0" t="s">
        <v>46</v>
      </c>
      <c r="L171" s="0" t="s">
        <v>46</v>
      </c>
      <c r="M171" s="0" t="s">
        <v>46</v>
      </c>
      <c r="N171" s="0" t="s">
        <v>46</v>
      </c>
      <c r="O171" s="0" t="s">
        <v>46</v>
      </c>
    </row>
    <row r="172" customFormat="false" ht="15" hidden="false" customHeight="false" outlineLevel="0" collapsed="false">
      <c r="A172" s="0" t="s">
        <v>3019</v>
      </c>
      <c r="B172" s="0" t="s">
        <v>3020</v>
      </c>
      <c r="C172" s="0" t="s">
        <v>3021</v>
      </c>
      <c r="D172" s="0" t="s">
        <v>46</v>
      </c>
      <c r="E172" s="0" t="s">
        <v>46</v>
      </c>
      <c r="F172" s="0" t="s">
        <v>46</v>
      </c>
      <c r="G172" s="0" t="s">
        <v>46</v>
      </c>
      <c r="H172" s="0" t="s">
        <v>46</v>
      </c>
      <c r="I172" s="0" t="s">
        <v>46</v>
      </c>
      <c r="J172" s="0" t="s">
        <v>46</v>
      </c>
      <c r="K172" s="0" t="s">
        <v>46</v>
      </c>
      <c r="L172" s="0" t="s">
        <v>46</v>
      </c>
      <c r="M172" s="0" t="s">
        <v>46</v>
      </c>
      <c r="N172" s="0" t="s">
        <v>46</v>
      </c>
      <c r="O172" s="0" t="s">
        <v>46</v>
      </c>
    </row>
    <row r="173" customFormat="false" ht="15" hidden="false" customHeight="false" outlineLevel="0" collapsed="false">
      <c r="A173" s="0" t="s">
        <v>3022</v>
      </c>
      <c r="B173" s="0" t="s">
        <v>1287</v>
      </c>
      <c r="C173" s="0" t="s">
        <v>1288</v>
      </c>
      <c r="D173" s="0" t="s">
        <v>729</v>
      </c>
      <c r="E173" s="0" t="s">
        <v>46</v>
      </c>
      <c r="F173" s="0" t="s">
        <v>3023</v>
      </c>
      <c r="G173" s="0" t="s">
        <v>3024</v>
      </c>
      <c r="H173" s="0" t="s">
        <v>3025</v>
      </c>
      <c r="I173" s="0" t="s">
        <v>46</v>
      </c>
      <c r="J173" s="0" t="s">
        <v>46</v>
      </c>
      <c r="K173" s="0" t="s">
        <v>46</v>
      </c>
      <c r="L173" s="0" t="s">
        <v>46</v>
      </c>
      <c r="M173" s="0" t="s">
        <v>46</v>
      </c>
      <c r="N173" s="0" t="s">
        <v>46</v>
      </c>
      <c r="O173" s="0" t="s">
        <v>46</v>
      </c>
    </row>
    <row r="174" customFormat="false" ht="15" hidden="false" customHeight="false" outlineLevel="0" collapsed="false">
      <c r="A174" s="0" t="s">
        <v>3026</v>
      </c>
      <c r="B174" s="0" t="s">
        <v>893</v>
      </c>
      <c r="C174" s="0" t="s">
        <v>894</v>
      </c>
      <c r="D174" s="0" t="s">
        <v>895</v>
      </c>
      <c r="E174" s="0" t="s">
        <v>46</v>
      </c>
      <c r="F174" s="0" t="s">
        <v>46</v>
      </c>
      <c r="G174" s="0" t="s">
        <v>3027</v>
      </c>
      <c r="H174" s="0" t="s">
        <v>3028</v>
      </c>
      <c r="I174" s="0" t="s">
        <v>46</v>
      </c>
      <c r="J174" s="0" t="s">
        <v>46</v>
      </c>
      <c r="K174" s="0" t="s">
        <v>46</v>
      </c>
      <c r="L174" s="0" t="s">
        <v>46</v>
      </c>
      <c r="M174" s="0" t="s">
        <v>46</v>
      </c>
      <c r="N174" s="0" t="s">
        <v>46</v>
      </c>
      <c r="O174" s="0" t="s">
        <v>46</v>
      </c>
    </row>
    <row r="175" customFormat="false" ht="15" hidden="false" customHeight="false" outlineLevel="0" collapsed="false">
      <c r="A175" s="0" t="s">
        <v>3029</v>
      </c>
      <c r="B175" s="0" t="s">
        <v>912</v>
      </c>
      <c r="C175" s="0" t="s">
        <v>913</v>
      </c>
      <c r="D175" s="0" t="s">
        <v>46</v>
      </c>
      <c r="E175" s="0" t="s">
        <v>46</v>
      </c>
      <c r="F175" s="0" t="s">
        <v>46</v>
      </c>
      <c r="G175" s="0" t="s">
        <v>3030</v>
      </c>
      <c r="H175" s="0" t="s">
        <v>3031</v>
      </c>
      <c r="I175" s="0" t="s">
        <v>46</v>
      </c>
      <c r="J175" s="0" t="s">
        <v>46</v>
      </c>
      <c r="K175" s="0" t="s">
        <v>46</v>
      </c>
      <c r="L175" s="0" t="s">
        <v>46</v>
      </c>
      <c r="M175" s="0" t="s">
        <v>46</v>
      </c>
      <c r="N175" s="0" t="s">
        <v>46</v>
      </c>
      <c r="O175" s="0" t="s">
        <v>46</v>
      </c>
    </row>
    <row r="176" customFormat="false" ht="15" hidden="false" customHeight="false" outlineLevel="0" collapsed="false">
      <c r="A176" s="0" t="s">
        <v>3032</v>
      </c>
      <c r="B176" s="0" t="s">
        <v>2278</v>
      </c>
      <c r="C176" s="0" t="s">
        <v>2279</v>
      </c>
      <c r="D176" s="0" t="s">
        <v>46</v>
      </c>
      <c r="E176" s="0" t="s">
        <v>46</v>
      </c>
      <c r="F176" s="0" t="s">
        <v>3033</v>
      </c>
      <c r="G176" s="0" t="s">
        <v>3034</v>
      </c>
      <c r="H176" s="0" t="s">
        <v>46</v>
      </c>
      <c r="I176" s="0" t="s">
        <v>46</v>
      </c>
      <c r="J176" s="0" t="s">
        <v>46</v>
      </c>
      <c r="K176" s="0" t="s">
        <v>46</v>
      </c>
      <c r="L176" s="0" t="s">
        <v>46</v>
      </c>
      <c r="M176" s="0" t="s">
        <v>46</v>
      </c>
      <c r="N176" s="0" t="s">
        <v>46</v>
      </c>
      <c r="O176" s="0" t="s">
        <v>46</v>
      </c>
    </row>
    <row r="177" customFormat="false" ht="15" hidden="false" customHeight="false" outlineLevel="0" collapsed="false">
      <c r="A177" s="0" t="s">
        <v>3035</v>
      </c>
      <c r="B177" s="0" t="s">
        <v>407</v>
      </c>
      <c r="C177" s="0" t="s">
        <v>408</v>
      </c>
      <c r="D177" s="0" t="s">
        <v>46</v>
      </c>
      <c r="E177" s="0" t="s">
        <v>46</v>
      </c>
      <c r="F177" s="0" t="s">
        <v>46</v>
      </c>
      <c r="G177" s="0" t="s">
        <v>3036</v>
      </c>
      <c r="H177" s="0" t="s">
        <v>3037</v>
      </c>
      <c r="I177" s="0" t="s">
        <v>46</v>
      </c>
      <c r="J177" s="0" t="s">
        <v>46</v>
      </c>
      <c r="K177" s="0" t="s">
        <v>46</v>
      </c>
      <c r="L177" s="0" t="s">
        <v>46</v>
      </c>
      <c r="M177" s="0" t="s">
        <v>46</v>
      </c>
      <c r="N177" s="0" t="s">
        <v>46</v>
      </c>
      <c r="O177" s="0" t="s">
        <v>46</v>
      </c>
    </row>
    <row r="178" customFormat="false" ht="15" hidden="false" customHeight="false" outlineLevel="0" collapsed="false">
      <c r="A178" s="0" t="s">
        <v>3038</v>
      </c>
      <c r="B178" s="0" t="s">
        <v>1851</v>
      </c>
      <c r="C178" s="0" t="s">
        <v>1852</v>
      </c>
      <c r="D178" s="0" t="s">
        <v>1853</v>
      </c>
      <c r="E178" s="0" t="s">
        <v>46</v>
      </c>
      <c r="F178" s="0" t="s">
        <v>3039</v>
      </c>
      <c r="G178" s="0" t="s">
        <v>3040</v>
      </c>
      <c r="H178" s="0" t="s">
        <v>3041</v>
      </c>
      <c r="I178" s="0" t="s">
        <v>46</v>
      </c>
      <c r="J178" s="0" t="s">
        <v>46</v>
      </c>
      <c r="K178" s="0" t="s">
        <v>46</v>
      </c>
      <c r="L178" s="0" t="s">
        <v>46</v>
      </c>
      <c r="M178" s="0" t="s">
        <v>46</v>
      </c>
      <c r="N178" s="0" t="s">
        <v>46</v>
      </c>
      <c r="O178" s="0" t="s">
        <v>46</v>
      </c>
    </row>
    <row r="179" customFormat="false" ht="15" hidden="false" customHeight="false" outlineLevel="0" collapsed="false">
      <c r="A179" s="0" t="s">
        <v>3042</v>
      </c>
      <c r="B179" s="0" t="s">
        <v>401</v>
      </c>
      <c r="C179" s="0" t="s">
        <v>402</v>
      </c>
      <c r="D179" s="0" t="s">
        <v>46</v>
      </c>
      <c r="E179" s="0" t="s">
        <v>46</v>
      </c>
      <c r="F179" s="0" t="s">
        <v>46</v>
      </c>
      <c r="G179" s="0" t="s">
        <v>3043</v>
      </c>
      <c r="H179" s="0" t="s">
        <v>3044</v>
      </c>
      <c r="I179" s="0" t="s">
        <v>46</v>
      </c>
      <c r="J179" s="0" t="s">
        <v>46</v>
      </c>
      <c r="K179" s="0" t="s">
        <v>46</v>
      </c>
      <c r="L179" s="0" t="s">
        <v>46</v>
      </c>
      <c r="M179" s="0" t="s">
        <v>46</v>
      </c>
      <c r="N179" s="0" t="s">
        <v>46</v>
      </c>
      <c r="O179" s="0" t="s">
        <v>46</v>
      </c>
    </row>
    <row r="180" customFormat="false" ht="15" hidden="false" customHeight="false" outlineLevel="0" collapsed="false">
      <c r="A180" s="0" t="s">
        <v>3045</v>
      </c>
      <c r="B180" s="0" t="s">
        <v>282</v>
      </c>
      <c r="C180" s="0" t="s">
        <v>283</v>
      </c>
      <c r="D180" s="0" t="s">
        <v>284</v>
      </c>
      <c r="E180" s="0" t="s">
        <v>46</v>
      </c>
      <c r="F180" s="0" t="s">
        <v>3046</v>
      </c>
      <c r="G180" s="0" t="s">
        <v>3047</v>
      </c>
      <c r="H180" s="0" t="s">
        <v>3048</v>
      </c>
      <c r="I180" s="0" t="s">
        <v>46</v>
      </c>
      <c r="J180" s="0" t="s">
        <v>46</v>
      </c>
      <c r="K180" s="0" t="s">
        <v>46</v>
      </c>
      <c r="L180" s="0" t="s">
        <v>46</v>
      </c>
      <c r="M180" s="0" t="s">
        <v>46</v>
      </c>
      <c r="N180" s="0" t="s">
        <v>46</v>
      </c>
      <c r="O180" s="0" t="s">
        <v>46</v>
      </c>
    </row>
    <row r="181" customFormat="false" ht="15" hidden="false" customHeight="false" outlineLevel="0" collapsed="false">
      <c r="A181" s="0" t="s">
        <v>3049</v>
      </c>
      <c r="B181" s="0" t="s">
        <v>1242</v>
      </c>
      <c r="C181" s="0" t="s">
        <v>1243</v>
      </c>
      <c r="D181" s="0" t="s">
        <v>1244</v>
      </c>
      <c r="E181" s="0" t="s">
        <v>46</v>
      </c>
      <c r="F181" s="0" t="s">
        <v>3050</v>
      </c>
      <c r="G181" s="0" t="s">
        <v>3051</v>
      </c>
      <c r="H181" s="0" t="s">
        <v>3052</v>
      </c>
      <c r="I181" s="0" t="s">
        <v>46</v>
      </c>
      <c r="J181" s="0" t="s">
        <v>46</v>
      </c>
      <c r="K181" s="0" t="s">
        <v>46</v>
      </c>
      <c r="L181" s="0" t="s">
        <v>46</v>
      </c>
      <c r="M181" s="0" t="s">
        <v>46</v>
      </c>
      <c r="N181" s="0" t="s">
        <v>46</v>
      </c>
      <c r="O181" s="0" t="s">
        <v>46</v>
      </c>
    </row>
    <row r="182" customFormat="false" ht="15" hidden="false" customHeight="false" outlineLevel="0" collapsed="false">
      <c r="A182" s="0" t="s">
        <v>3053</v>
      </c>
      <c r="B182" s="0" t="s">
        <v>3054</v>
      </c>
      <c r="C182" s="0" t="s">
        <v>3055</v>
      </c>
      <c r="D182" s="0" t="s">
        <v>3056</v>
      </c>
      <c r="E182" s="0" t="s">
        <v>46</v>
      </c>
      <c r="F182" s="0" t="s">
        <v>3057</v>
      </c>
      <c r="G182" s="0" t="s">
        <v>3058</v>
      </c>
      <c r="H182" s="0" t="s">
        <v>3059</v>
      </c>
      <c r="I182" s="0" t="s">
        <v>46</v>
      </c>
      <c r="J182" s="0" t="s">
        <v>46</v>
      </c>
      <c r="K182" s="0" t="s">
        <v>46</v>
      </c>
      <c r="L182" s="0" t="s">
        <v>46</v>
      </c>
      <c r="M182" s="0" t="s">
        <v>46</v>
      </c>
      <c r="N182" s="0" t="s">
        <v>46</v>
      </c>
      <c r="O182" s="0" t="s">
        <v>46</v>
      </c>
    </row>
    <row r="183" customFormat="false" ht="15" hidden="false" customHeight="false" outlineLevel="0" collapsed="false">
      <c r="A183" s="0" t="s">
        <v>3060</v>
      </c>
      <c r="B183" s="0" t="s">
        <v>3061</v>
      </c>
      <c r="C183" s="0" t="s">
        <v>3062</v>
      </c>
      <c r="D183" s="0" t="s">
        <v>3063</v>
      </c>
      <c r="E183" s="0" t="s">
        <v>46</v>
      </c>
      <c r="F183" s="0" t="s">
        <v>3057</v>
      </c>
      <c r="G183" s="0" t="s">
        <v>3064</v>
      </c>
      <c r="H183" s="0" t="s">
        <v>3059</v>
      </c>
      <c r="I183" s="0" t="s">
        <v>46</v>
      </c>
      <c r="J183" s="0" t="s">
        <v>46</v>
      </c>
      <c r="K183" s="0" t="s">
        <v>46</v>
      </c>
      <c r="L183" s="0" t="s">
        <v>46</v>
      </c>
      <c r="M183" s="0" t="s">
        <v>46</v>
      </c>
      <c r="N183" s="0" t="s">
        <v>46</v>
      </c>
      <c r="O183" s="0" t="s">
        <v>46</v>
      </c>
    </row>
    <row r="184" customFormat="false" ht="15" hidden="false" customHeight="false" outlineLevel="0" collapsed="false">
      <c r="A184" s="0" t="s">
        <v>3065</v>
      </c>
      <c r="B184" s="0" t="s">
        <v>568</v>
      </c>
      <c r="C184" s="0" t="s">
        <v>569</v>
      </c>
      <c r="D184" s="0" t="s">
        <v>570</v>
      </c>
      <c r="E184" s="0" t="s">
        <v>46</v>
      </c>
      <c r="F184" s="0" t="s">
        <v>46</v>
      </c>
      <c r="G184" s="0" t="s">
        <v>3066</v>
      </c>
      <c r="H184" s="0" t="s">
        <v>3067</v>
      </c>
      <c r="I184" s="0" t="s">
        <v>46</v>
      </c>
      <c r="J184" s="0" t="s">
        <v>46</v>
      </c>
      <c r="K184" s="0" t="s">
        <v>46</v>
      </c>
      <c r="L184" s="0" t="s">
        <v>46</v>
      </c>
      <c r="M184" s="0" t="s">
        <v>46</v>
      </c>
      <c r="N184" s="0" t="s">
        <v>46</v>
      </c>
      <c r="O184" s="0" t="s">
        <v>46</v>
      </c>
    </row>
    <row r="185" customFormat="false" ht="15" hidden="false" customHeight="false" outlineLevel="0" collapsed="false">
      <c r="A185" s="0" t="s">
        <v>3068</v>
      </c>
      <c r="B185" s="0" t="s">
        <v>46</v>
      </c>
      <c r="C185" s="0" t="s">
        <v>2103</v>
      </c>
      <c r="D185" s="0" t="s">
        <v>2104</v>
      </c>
      <c r="E185" s="0" t="s">
        <v>46</v>
      </c>
      <c r="F185" s="0" t="s">
        <v>46</v>
      </c>
      <c r="G185" s="0" t="s">
        <v>46</v>
      </c>
      <c r="H185" s="0" t="s">
        <v>46</v>
      </c>
      <c r="I185" s="0" t="s">
        <v>46</v>
      </c>
      <c r="J185" s="0" t="s">
        <v>46</v>
      </c>
      <c r="K185" s="0" t="s">
        <v>46</v>
      </c>
      <c r="L185" s="0" t="s">
        <v>46</v>
      </c>
      <c r="M185" s="0" t="s">
        <v>46</v>
      </c>
      <c r="N185" s="0" t="s">
        <v>46</v>
      </c>
      <c r="O185" s="0" t="s">
        <v>46</v>
      </c>
    </row>
    <row r="186" customFormat="false" ht="15" hidden="false" customHeight="false" outlineLevel="0" collapsed="false">
      <c r="A186" s="0" t="s">
        <v>3069</v>
      </c>
      <c r="B186" s="0" t="s">
        <v>46</v>
      </c>
      <c r="C186" s="0" t="s">
        <v>1565</v>
      </c>
      <c r="D186" s="0" t="s">
        <v>1566</v>
      </c>
      <c r="E186" s="0" t="s">
        <v>46</v>
      </c>
      <c r="F186" s="0" t="s">
        <v>3070</v>
      </c>
      <c r="G186" s="0" t="s">
        <v>46</v>
      </c>
      <c r="H186" s="0" t="s">
        <v>46</v>
      </c>
      <c r="I186" s="0" t="s">
        <v>46</v>
      </c>
      <c r="J186" s="0" t="s">
        <v>46</v>
      </c>
      <c r="K186" s="0" t="s">
        <v>46</v>
      </c>
      <c r="L186" s="0" t="s">
        <v>46</v>
      </c>
      <c r="M186" s="0" t="s">
        <v>46</v>
      </c>
      <c r="N186" s="0" t="s">
        <v>46</v>
      </c>
      <c r="O186" s="0" t="s">
        <v>46</v>
      </c>
    </row>
    <row r="187" customFormat="false" ht="15" hidden="false" customHeight="false" outlineLevel="0" collapsed="false">
      <c r="A187" s="0" t="s">
        <v>3071</v>
      </c>
      <c r="B187" s="0" t="s">
        <v>623</v>
      </c>
      <c r="C187" s="0" t="s">
        <v>624</v>
      </c>
      <c r="D187" s="0" t="s">
        <v>625</v>
      </c>
      <c r="E187" s="0" t="s">
        <v>46</v>
      </c>
      <c r="F187" s="0" t="s">
        <v>3072</v>
      </c>
      <c r="G187" s="0" t="s">
        <v>46</v>
      </c>
      <c r="H187" s="0" t="s">
        <v>46</v>
      </c>
      <c r="I187" s="0" t="s">
        <v>46</v>
      </c>
      <c r="J187" s="0" t="s">
        <v>46</v>
      </c>
      <c r="K187" s="0" t="s">
        <v>46</v>
      </c>
      <c r="L187" s="0" t="s">
        <v>46</v>
      </c>
      <c r="M187" s="0" t="s">
        <v>46</v>
      </c>
      <c r="N187" s="0" t="s">
        <v>46</v>
      </c>
      <c r="O187" s="0" t="s">
        <v>46</v>
      </c>
    </row>
    <row r="188" customFormat="false" ht="15" hidden="false" customHeight="false" outlineLevel="0" collapsed="false">
      <c r="A188" s="0" t="s">
        <v>3073</v>
      </c>
      <c r="B188" s="0" t="s">
        <v>2155</v>
      </c>
      <c r="C188" s="0" t="s">
        <v>2156</v>
      </c>
      <c r="D188" s="0" t="s">
        <v>2157</v>
      </c>
      <c r="E188" s="0" t="s">
        <v>46</v>
      </c>
      <c r="F188" s="0" t="s">
        <v>3074</v>
      </c>
      <c r="G188" s="0" t="s">
        <v>3075</v>
      </c>
      <c r="H188" s="0" t="s">
        <v>3076</v>
      </c>
      <c r="I188" s="0" t="s">
        <v>46</v>
      </c>
      <c r="J188" s="0" t="s">
        <v>46</v>
      </c>
      <c r="K188" s="0" t="s">
        <v>46</v>
      </c>
      <c r="L188" s="0" t="s">
        <v>46</v>
      </c>
      <c r="M188" s="0" t="s">
        <v>46</v>
      </c>
      <c r="N188" s="0" t="s">
        <v>46</v>
      </c>
      <c r="O188" s="0" t="s">
        <v>46</v>
      </c>
    </row>
    <row r="189" customFormat="false" ht="15" hidden="false" customHeight="false" outlineLevel="0" collapsed="false">
      <c r="A189" s="0" t="s">
        <v>3077</v>
      </c>
      <c r="B189" s="0" t="s">
        <v>1423</v>
      </c>
      <c r="C189" s="0" t="s">
        <v>1424</v>
      </c>
      <c r="D189" s="0" t="s">
        <v>1425</v>
      </c>
      <c r="E189" s="0" t="s">
        <v>46</v>
      </c>
      <c r="F189" s="0" t="s">
        <v>3078</v>
      </c>
      <c r="G189" s="0" t="s">
        <v>3079</v>
      </c>
      <c r="H189" s="0" t="s">
        <v>46</v>
      </c>
      <c r="I189" s="0" t="s">
        <v>46</v>
      </c>
      <c r="J189" s="0" t="s">
        <v>46</v>
      </c>
      <c r="K189" s="0" t="s">
        <v>46</v>
      </c>
      <c r="L189" s="0" t="s">
        <v>46</v>
      </c>
      <c r="M189" s="0" t="s">
        <v>46</v>
      </c>
      <c r="N189" s="0" t="s">
        <v>46</v>
      </c>
      <c r="O189" s="0" t="s">
        <v>46</v>
      </c>
    </row>
    <row r="190" customFormat="false" ht="15" hidden="false" customHeight="false" outlineLevel="0" collapsed="false">
      <c r="A190" s="0" t="s">
        <v>3080</v>
      </c>
      <c r="B190" s="0" t="s">
        <v>1138</v>
      </c>
      <c r="C190" s="0" t="s">
        <v>1139</v>
      </c>
      <c r="D190" s="0" t="s">
        <v>1140</v>
      </c>
      <c r="E190" s="0" t="s">
        <v>46</v>
      </c>
      <c r="F190" s="0" t="s">
        <v>3081</v>
      </c>
      <c r="G190" s="0" t="s">
        <v>3082</v>
      </c>
      <c r="H190" s="0" t="s">
        <v>3083</v>
      </c>
      <c r="I190" s="0" t="s">
        <v>46</v>
      </c>
      <c r="J190" s="0" t="s">
        <v>46</v>
      </c>
      <c r="K190" s="0" t="s">
        <v>46</v>
      </c>
      <c r="L190" s="0" t="s">
        <v>46</v>
      </c>
      <c r="M190" s="0" t="s">
        <v>46</v>
      </c>
      <c r="N190" s="0" t="s">
        <v>46</v>
      </c>
      <c r="O190" s="0" t="s">
        <v>46</v>
      </c>
    </row>
    <row r="191" customFormat="false" ht="15" hidden="false" customHeight="false" outlineLevel="0" collapsed="false">
      <c r="A191" s="0" t="s">
        <v>3084</v>
      </c>
      <c r="B191" s="0" t="s">
        <v>1674</v>
      </c>
      <c r="C191" s="0" t="s">
        <v>1675</v>
      </c>
      <c r="D191" s="0" t="s">
        <v>46</v>
      </c>
      <c r="E191" s="0" t="s">
        <v>46</v>
      </c>
      <c r="F191" s="0" t="s">
        <v>46</v>
      </c>
      <c r="G191" s="0" t="s">
        <v>46</v>
      </c>
      <c r="H191" s="0" t="s">
        <v>46</v>
      </c>
      <c r="I191" s="0" t="s">
        <v>46</v>
      </c>
      <c r="J191" s="0" t="s">
        <v>46</v>
      </c>
      <c r="K191" s="0" t="s">
        <v>46</v>
      </c>
      <c r="L191" s="0" t="s">
        <v>46</v>
      </c>
      <c r="M191" s="0" t="s">
        <v>46</v>
      </c>
      <c r="N191" s="0" t="s">
        <v>46</v>
      </c>
      <c r="O191" s="0" t="s">
        <v>46</v>
      </c>
    </row>
    <row r="192" customFormat="false" ht="15" hidden="false" customHeight="false" outlineLevel="0" collapsed="false">
      <c r="A192" s="0" t="s">
        <v>3085</v>
      </c>
      <c r="B192" s="0" t="s">
        <v>1633</v>
      </c>
      <c r="C192" s="0" t="s">
        <v>1634</v>
      </c>
      <c r="D192" s="0" t="s">
        <v>1635</v>
      </c>
      <c r="E192" s="0" t="s">
        <v>46</v>
      </c>
      <c r="F192" s="0" t="s">
        <v>46</v>
      </c>
      <c r="G192" s="0" t="s">
        <v>3086</v>
      </c>
      <c r="H192" s="0" t="s">
        <v>46</v>
      </c>
      <c r="I192" s="0" t="s">
        <v>46</v>
      </c>
      <c r="J192" s="0" t="s">
        <v>46</v>
      </c>
      <c r="K192" s="0" t="s">
        <v>46</v>
      </c>
      <c r="L192" s="0" t="s">
        <v>46</v>
      </c>
      <c r="M192" s="0" t="s">
        <v>46</v>
      </c>
      <c r="N192" s="0" t="s">
        <v>46</v>
      </c>
      <c r="O192" s="0" t="s">
        <v>46</v>
      </c>
    </row>
    <row r="193" customFormat="false" ht="15" hidden="false" customHeight="false" outlineLevel="0" collapsed="false">
      <c r="A193" s="0" t="s">
        <v>3087</v>
      </c>
      <c r="B193" s="0" t="s">
        <v>3088</v>
      </c>
      <c r="C193" s="0" t="s">
        <v>3089</v>
      </c>
      <c r="D193" s="0" t="s">
        <v>3090</v>
      </c>
      <c r="E193" s="0" t="s">
        <v>46</v>
      </c>
      <c r="F193" s="0" t="s">
        <v>3091</v>
      </c>
      <c r="G193" s="0" t="s">
        <v>3092</v>
      </c>
      <c r="H193" s="0" t="s">
        <v>3093</v>
      </c>
      <c r="I193" s="0" t="s">
        <v>46</v>
      </c>
      <c r="J193" s="0" t="s">
        <v>46</v>
      </c>
      <c r="K193" s="0" t="s">
        <v>46</v>
      </c>
      <c r="L193" s="0" t="s">
        <v>46</v>
      </c>
      <c r="M193" s="0" t="s">
        <v>46</v>
      </c>
      <c r="N193" s="0" t="s">
        <v>46</v>
      </c>
      <c r="O193" s="0" t="s">
        <v>46</v>
      </c>
    </row>
    <row r="194" customFormat="false" ht="15" hidden="false" customHeight="false" outlineLevel="0" collapsed="false">
      <c r="A194" s="0" t="s">
        <v>3094</v>
      </c>
      <c r="B194" s="0" t="s">
        <v>3095</v>
      </c>
      <c r="C194" s="0" t="s">
        <v>3096</v>
      </c>
      <c r="D194" s="0" t="s">
        <v>3090</v>
      </c>
      <c r="E194" s="0" t="s">
        <v>46</v>
      </c>
      <c r="F194" s="0" t="s">
        <v>3091</v>
      </c>
      <c r="G194" s="0" t="s">
        <v>46</v>
      </c>
      <c r="H194" s="0" t="s">
        <v>46</v>
      </c>
      <c r="I194" s="0" t="s">
        <v>46</v>
      </c>
      <c r="J194" s="0" t="s">
        <v>46</v>
      </c>
      <c r="K194" s="0" t="s">
        <v>46</v>
      </c>
      <c r="L194" s="0" t="s">
        <v>46</v>
      </c>
      <c r="M194" s="0" t="s">
        <v>46</v>
      </c>
      <c r="N194" s="0" t="s">
        <v>46</v>
      </c>
      <c r="O194" s="0" t="s">
        <v>46</v>
      </c>
    </row>
    <row r="195" customFormat="false" ht="15" hidden="false" customHeight="false" outlineLevel="0" collapsed="false">
      <c r="A195" s="0" t="s">
        <v>3097</v>
      </c>
      <c r="B195" s="0" t="s">
        <v>1911</v>
      </c>
      <c r="C195" s="0" t="s">
        <v>1912</v>
      </c>
      <c r="D195" s="0" t="s">
        <v>1913</v>
      </c>
      <c r="E195" s="0" t="s">
        <v>46</v>
      </c>
      <c r="F195" s="0" t="s">
        <v>3098</v>
      </c>
      <c r="G195" s="0" t="s">
        <v>3099</v>
      </c>
      <c r="H195" s="0" t="s">
        <v>46</v>
      </c>
      <c r="I195" s="0" t="s">
        <v>46</v>
      </c>
      <c r="J195" s="0" t="s">
        <v>46</v>
      </c>
      <c r="K195" s="0" t="s">
        <v>46</v>
      </c>
      <c r="L195" s="0" t="s">
        <v>46</v>
      </c>
      <c r="M195" s="0" t="s">
        <v>46</v>
      </c>
      <c r="N195" s="0" t="s">
        <v>46</v>
      </c>
      <c r="O195" s="0" t="s">
        <v>46</v>
      </c>
    </row>
    <row r="196" customFormat="false" ht="15" hidden="false" customHeight="false" outlineLevel="0" collapsed="false">
      <c r="A196" s="0" t="s">
        <v>3100</v>
      </c>
      <c r="B196" s="0" t="s">
        <v>610</v>
      </c>
      <c r="C196" s="0" t="s">
        <v>611</v>
      </c>
      <c r="D196" s="0" t="s">
        <v>612</v>
      </c>
      <c r="E196" s="0" t="s">
        <v>46</v>
      </c>
      <c r="F196" s="0" t="s">
        <v>3101</v>
      </c>
      <c r="G196" s="0" t="s">
        <v>3102</v>
      </c>
      <c r="H196" s="0" t="s">
        <v>46</v>
      </c>
      <c r="I196" s="0" t="s">
        <v>46</v>
      </c>
      <c r="J196" s="0" t="s">
        <v>46</v>
      </c>
      <c r="K196" s="0" t="s">
        <v>46</v>
      </c>
      <c r="L196" s="0" t="s">
        <v>46</v>
      </c>
      <c r="M196" s="0" t="s">
        <v>46</v>
      </c>
      <c r="N196" s="0" t="s">
        <v>46</v>
      </c>
      <c r="O196" s="0" t="s">
        <v>46</v>
      </c>
    </row>
    <row r="197" customFormat="false" ht="15" hidden="false" customHeight="false" outlineLevel="0" collapsed="false">
      <c r="A197" s="0" t="s">
        <v>3103</v>
      </c>
      <c r="B197" s="0" t="s">
        <v>930</v>
      </c>
      <c r="C197" s="0" t="s">
        <v>931</v>
      </c>
      <c r="D197" s="0" t="s">
        <v>46</v>
      </c>
      <c r="E197" s="0" t="s">
        <v>46</v>
      </c>
      <c r="F197" s="0" t="s">
        <v>46</v>
      </c>
      <c r="G197" s="0" t="s">
        <v>3104</v>
      </c>
      <c r="H197" s="0" t="s">
        <v>3105</v>
      </c>
      <c r="I197" s="0" t="s">
        <v>46</v>
      </c>
      <c r="J197" s="0" t="s">
        <v>46</v>
      </c>
      <c r="K197" s="0" t="s">
        <v>46</v>
      </c>
      <c r="L197" s="0" t="s">
        <v>46</v>
      </c>
      <c r="M197" s="0" t="s">
        <v>46</v>
      </c>
      <c r="N197" s="0" t="s">
        <v>46</v>
      </c>
      <c r="O197" s="0" t="s">
        <v>46</v>
      </c>
    </row>
    <row r="198" customFormat="false" ht="15" hidden="false" customHeight="false" outlineLevel="0" collapsed="false">
      <c r="A198" s="0" t="s">
        <v>3106</v>
      </c>
      <c r="B198" s="0" t="s">
        <v>1132</v>
      </c>
      <c r="C198" s="0" t="s">
        <v>1133</v>
      </c>
      <c r="D198" s="0" t="s">
        <v>1134</v>
      </c>
      <c r="E198" s="0" t="s">
        <v>46</v>
      </c>
      <c r="F198" s="0" t="s">
        <v>46</v>
      </c>
      <c r="G198" s="0" t="s">
        <v>3107</v>
      </c>
      <c r="H198" s="0" t="s">
        <v>3108</v>
      </c>
      <c r="I198" s="0" t="s">
        <v>46</v>
      </c>
      <c r="J198" s="0" t="s">
        <v>46</v>
      </c>
      <c r="K198" s="0" t="s">
        <v>46</v>
      </c>
      <c r="L198" s="0" t="s">
        <v>46</v>
      </c>
      <c r="M198" s="0" t="s">
        <v>46</v>
      </c>
      <c r="N198" s="0" t="s">
        <v>46</v>
      </c>
      <c r="O198" s="0" t="s">
        <v>46</v>
      </c>
    </row>
    <row r="199" customFormat="false" ht="15" hidden="false" customHeight="false" outlineLevel="0" collapsed="false">
      <c r="A199" s="0" t="s">
        <v>3109</v>
      </c>
      <c r="B199" s="0" t="s">
        <v>386</v>
      </c>
      <c r="C199" s="0" t="s">
        <v>387</v>
      </c>
      <c r="D199" s="0" t="s">
        <v>388</v>
      </c>
      <c r="E199" s="0" t="s">
        <v>46</v>
      </c>
      <c r="F199" s="0" t="s">
        <v>3110</v>
      </c>
      <c r="G199" s="0" t="s">
        <v>3111</v>
      </c>
      <c r="H199" s="0" t="s">
        <v>3112</v>
      </c>
      <c r="I199" s="0" t="s">
        <v>46</v>
      </c>
      <c r="J199" s="0" t="s">
        <v>46</v>
      </c>
      <c r="K199" s="0" t="s">
        <v>46</v>
      </c>
      <c r="L199" s="0" t="s">
        <v>46</v>
      </c>
      <c r="M199" s="0" t="s">
        <v>46</v>
      </c>
      <c r="N199" s="0" t="s">
        <v>46</v>
      </c>
      <c r="O199" s="0" t="s">
        <v>46</v>
      </c>
    </row>
    <row r="200" customFormat="false" ht="15" hidden="false" customHeight="false" outlineLevel="0" collapsed="false">
      <c r="A200" s="0" t="s">
        <v>3113</v>
      </c>
      <c r="B200" s="0" t="s">
        <v>936</v>
      </c>
      <c r="C200" s="0" t="s">
        <v>937</v>
      </c>
      <c r="D200" s="0" t="s">
        <v>938</v>
      </c>
      <c r="E200" s="0" t="s">
        <v>46</v>
      </c>
      <c r="F200" s="0" t="s">
        <v>3114</v>
      </c>
      <c r="G200" s="0" t="s">
        <v>46</v>
      </c>
      <c r="H200" s="0" t="s">
        <v>46</v>
      </c>
      <c r="I200" s="0" t="s">
        <v>46</v>
      </c>
      <c r="J200" s="0" t="s">
        <v>46</v>
      </c>
      <c r="K200" s="0" t="s">
        <v>46</v>
      </c>
      <c r="L200" s="0" t="s">
        <v>46</v>
      </c>
      <c r="M200" s="0" t="s">
        <v>46</v>
      </c>
      <c r="N200" s="0" t="s">
        <v>46</v>
      </c>
      <c r="O200" s="0" t="s">
        <v>46</v>
      </c>
    </row>
    <row r="201" customFormat="false" ht="15" hidden="false" customHeight="false" outlineLevel="0" collapsed="false">
      <c r="A201" s="0" t="s">
        <v>3115</v>
      </c>
      <c r="B201" s="0" t="s">
        <v>128</v>
      </c>
      <c r="C201" s="0" t="s">
        <v>129</v>
      </c>
      <c r="D201" s="0" t="s">
        <v>130</v>
      </c>
      <c r="E201" s="0" t="s">
        <v>46</v>
      </c>
      <c r="F201" s="0" t="s">
        <v>3116</v>
      </c>
      <c r="G201" s="0" t="s">
        <v>46</v>
      </c>
      <c r="H201" s="0" t="s">
        <v>46</v>
      </c>
      <c r="I201" s="0" t="s">
        <v>46</v>
      </c>
      <c r="J201" s="0" t="s">
        <v>46</v>
      </c>
      <c r="K201" s="0" t="s">
        <v>46</v>
      </c>
      <c r="L201" s="0" t="s">
        <v>46</v>
      </c>
      <c r="M201" s="0" t="s">
        <v>46</v>
      </c>
      <c r="N201" s="0" t="s">
        <v>46</v>
      </c>
      <c r="O201" s="0" t="s">
        <v>46</v>
      </c>
    </row>
    <row r="202" customFormat="false" ht="15" hidden="false" customHeight="false" outlineLevel="0" collapsed="false">
      <c r="A202" s="0" t="s">
        <v>3117</v>
      </c>
      <c r="B202" s="0" t="s">
        <v>1578</v>
      </c>
      <c r="C202" s="0" t="s">
        <v>1579</v>
      </c>
      <c r="D202" s="0" t="s">
        <v>1580</v>
      </c>
      <c r="E202" s="0" t="s">
        <v>46</v>
      </c>
      <c r="F202" s="0" t="s">
        <v>3118</v>
      </c>
      <c r="G202" s="0" t="s">
        <v>3119</v>
      </c>
      <c r="H202" s="0" t="s">
        <v>3120</v>
      </c>
      <c r="I202" s="0" t="s">
        <v>46</v>
      </c>
      <c r="J202" s="0" t="s">
        <v>46</v>
      </c>
      <c r="K202" s="0" t="s">
        <v>46</v>
      </c>
      <c r="L202" s="0" t="s">
        <v>46</v>
      </c>
      <c r="M202" s="0" t="s">
        <v>46</v>
      </c>
      <c r="N202" s="0" t="s">
        <v>46</v>
      </c>
      <c r="O202" s="0" t="s">
        <v>46</v>
      </c>
    </row>
    <row r="203" customFormat="false" ht="15" hidden="false" customHeight="false" outlineLevel="0" collapsed="false">
      <c r="A203" s="0" t="s">
        <v>3121</v>
      </c>
      <c r="B203" s="0" t="s">
        <v>652</v>
      </c>
      <c r="C203" s="0" t="s">
        <v>653</v>
      </c>
      <c r="D203" s="0" t="s">
        <v>654</v>
      </c>
      <c r="E203" s="0" t="s">
        <v>46</v>
      </c>
      <c r="F203" s="0" t="s">
        <v>3122</v>
      </c>
      <c r="G203" s="0" t="s">
        <v>3123</v>
      </c>
      <c r="H203" s="0" t="s">
        <v>3124</v>
      </c>
      <c r="I203" s="0" t="s">
        <v>46</v>
      </c>
      <c r="J203" s="0" t="s">
        <v>46</v>
      </c>
      <c r="K203" s="0" t="s">
        <v>46</v>
      </c>
      <c r="L203" s="0" t="s">
        <v>46</v>
      </c>
      <c r="M203" s="0" t="s">
        <v>46</v>
      </c>
      <c r="N203" s="0" t="s">
        <v>46</v>
      </c>
      <c r="O203" s="0" t="s">
        <v>46</v>
      </c>
    </row>
    <row r="204" customFormat="false" ht="15" hidden="false" customHeight="false" outlineLevel="0" collapsed="false">
      <c r="A204" s="0" t="s">
        <v>3125</v>
      </c>
      <c r="B204" s="0" t="s">
        <v>1746</v>
      </c>
      <c r="C204" s="0" t="s">
        <v>1747</v>
      </c>
      <c r="D204" s="0" t="s">
        <v>1748</v>
      </c>
      <c r="E204" s="0" t="s">
        <v>46</v>
      </c>
      <c r="F204" s="0" t="s">
        <v>3126</v>
      </c>
      <c r="G204" s="0" t="s">
        <v>3127</v>
      </c>
      <c r="H204" s="0" t="s">
        <v>3128</v>
      </c>
      <c r="I204" s="0" t="s">
        <v>46</v>
      </c>
      <c r="J204" s="0" t="s">
        <v>46</v>
      </c>
      <c r="K204" s="0" t="s">
        <v>46</v>
      </c>
      <c r="L204" s="0" t="s">
        <v>46</v>
      </c>
      <c r="M204" s="0" t="s">
        <v>46</v>
      </c>
      <c r="N204" s="0" t="s">
        <v>46</v>
      </c>
      <c r="O204" s="0" t="s">
        <v>46</v>
      </c>
    </row>
    <row r="205" customFormat="false" ht="15" hidden="false" customHeight="false" outlineLevel="0" collapsed="false">
      <c r="A205" s="0" t="s">
        <v>3129</v>
      </c>
      <c r="B205" s="0" t="s">
        <v>698</v>
      </c>
      <c r="C205" s="0" t="s">
        <v>699</v>
      </c>
      <c r="D205" s="0" t="s">
        <v>700</v>
      </c>
      <c r="E205" s="0" t="s">
        <v>46</v>
      </c>
      <c r="F205" s="0" t="s">
        <v>46</v>
      </c>
      <c r="G205" s="0" t="s">
        <v>3130</v>
      </c>
      <c r="H205" s="0" t="s">
        <v>3131</v>
      </c>
      <c r="I205" s="0" t="s">
        <v>46</v>
      </c>
      <c r="J205" s="0" t="s">
        <v>46</v>
      </c>
      <c r="K205" s="0" t="s">
        <v>46</v>
      </c>
      <c r="L205" s="0" t="s">
        <v>46</v>
      </c>
      <c r="M205" s="0" t="s">
        <v>46</v>
      </c>
      <c r="N205" s="0" t="s">
        <v>46</v>
      </c>
      <c r="O205" s="0" t="s">
        <v>46</v>
      </c>
    </row>
    <row r="206" customFormat="false" ht="15" hidden="false" customHeight="false" outlineLevel="0" collapsed="false">
      <c r="A206" s="0" t="s">
        <v>3132</v>
      </c>
      <c r="B206" s="0" t="s">
        <v>1611</v>
      </c>
      <c r="C206" s="0" t="s">
        <v>1612</v>
      </c>
      <c r="D206" s="0" t="s">
        <v>1613</v>
      </c>
      <c r="E206" s="0" t="s">
        <v>46</v>
      </c>
      <c r="F206" s="0" t="s">
        <v>46</v>
      </c>
      <c r="G206" s="0" t="s">
        <v>3133</v>
      </c>
      <c r="H206" s="0" t="s">
        <v>3134</v>
      </c>
      <c r="I206" s="0" t="s">
        <v>46</v>
      </c>
      <c r="J206" s="0" t="s">
        <v>46</v>
      </c>
      <c r="K206" s="0" t="s">
        <v>46</v>
      </c>
      <c r="L206" s="0" t="s">
        <v>46</v>
      </c>
      <c r="M206" s="0" t="s">
        <v>46</v>
      </c>
      <c r="N206" s="0" t="s">
        <v>46</v>
      </c>
      <c r="O206" s="0" t="s">
        <v>46</v>
      </c>
    </row>
    <row r="207" customFormat="false" ht="15" hidden="false" customHeight="false" outlineLevel="0" collapsed="false">
      <c r="A207" s="0" t="s">
        <v>3135</v>
      </c>
      <c r="B207" s="0" t="s">
        <v>1398</v>
      </c>
      <c r="C207" s="0" t="s">
        <v>1399</v>
      </c>
      <c r="D207" s="0" t="s">
        <v>1400</v>
      </c>
      <c r="E207" s="0" t="s">
        <v>46</v>
      </c>
      <c r="F207" s="0" t="s">
        <v>3136</v>
      </c>
      <c r="G207" s="0" t="s">
        <v>3137</v>
      </c>
      <c r="H207" s="0" t="s">
        <v>3138</v>
      </c>
      <c r="I207" s="0" t="s">
        <v>46</v>
      </c>
      <c r="J207" s="0" t="s">
        <v>46</v>
      </c>
      <c r="K207" s="0" t="s">
        <v>46</v>
      </c>
      <c r="L207" s="0" t="s">
        <v>46</v>
      </c>
      <c r="M207" s="0" t="s">
        <v>46</v>
      </c>
      <c r="N207" s="0" t="s">
        <v>46</v>
      </c>
      <c r="O207" s="0" t="s">
        <v>46</v>
      </c>
    </row>
    <row r="208" customFormat="false" ht="15" hidden="false" customHeight="false" outlineLevel="0" collapsed="false">
      <c r="A208" s="0" t="s">
        <v>3139</v>
      </c>
      <c r="B208" s="0" t="s">
        <v>2022</v>
      </c>
      <c r="C208" s="0" t="s">
        <v>2023</v>
      </c>
      <c r="D208" s="0" t="s">
        <v>2024</v>
      </c>
      <c r="E208" s="0" t="s">
        <v>46</v>
      </c>
      <c r="F208" s="0" t="s">
        <v>3140</v>
      </c>
      <c r="G208" s="0" t="s">
        <v>3141</v>
      </c>
      <c r="H208" s="0" t="s">
        <v>3142</v>
      </c>
      <c r="I208" s="0" t="s">
        <v>46</v>
      </c>
      <c r="J208" s="0" t="s">
        <v>46</v>
      </c>
      <c r="K208" s="0" t="s">
        <v>46</v>
      </c>
      <c r="L208" s="0" t="s">
        <v>46</v>
      </c>
      <c r="M208" s="0" t="s">
        <v>46</v>
      </c>
      <c r="N208" s="0" t="s">
        <v>46</v>
      </c>
      <c r="O208" s="0" t="s">
        <v>46</v>
      </c>
    </row>
    <row r="209" customFormat="false" ht="15" hidden="false" customHeight="false" outlineLevel="0" collapsed="false">
      <c r="A209" s="0" t="s">
        <v>3143</v>
      </c>
      <c r="B209" s="0" t="s">
        <v>46</v>
      </c>
      <c r="C209" s="0" t="s">
        <v>3144</v>
      </c>
      <c r="D209" s="0" t="s">
        <v>46</v>
      </c>
      <c r="E209" s="0" t="s">
        <v>46</v>
      </c>
      <c r="F209" s="0" t="s">
        <v>46</v>
      </c>
      <c r="G209" s="0" t="s">
        <v>3145</v>
      </c>
      <c r="H209" s="0" t="s">
        <v>46</v>
      </c>
      <c r="I209" s="0" t="s">
        <v>46</v>
      </c>
      <c r="J209" s="0" t="s">
        <v>46</v>
      </c>
      <c r="K209" s="0" t="s">
        <v>46</v>
      </c>
      <c r="L209" s="0" t="s">
        <v>46</v>
      </c>
      <c r="M209" s="0" t="s">
        <v>46</v>
      </c>
      <c r="N209" s="0" t="s">
        <v>46</v>
      </c>
      <c r="O209" s="0" t="s">
        <v>46</v>
      </c>
    </row>
    <row r="210" customFormat="false" ht="15" hidden="false" customHeight="false" outlineLevel="0" collapsed="false">
      <c r="A210" s="0" t="s">
        <v>3146</v>
      </c>
      <c r="B210" s="0" t="s">
        <v>1526</v>
      </c>
      <c r="C210" s="0" t="s">
        <v>1527</v>
      </c>
      <c r="D210" s="0" t="s">
        <v>1528</v>
      </c>
      <c r="E210" s="0" t="s">
        <v>46</v>
      </c>
      <c r="F210" s="0" t="s">
        <v>3147</v>
      </c>
      <c r="G210" s="0" t="s">
        <v>3148</v>
      </c>
      <c r="H210" s="0" t="s">
        <v>2895</v>
      </c>
      <c r="I210" s="0" t="s">
        <v>46</v>
      </c>
      <c r="J210" s="0" t="s">
        <v>46</v>
      </c>
      <c r="K210" s="0" t="s">
        <v>46</v>
      </c>
      <c r="L210" s="0" t="s">
        <v>46</v>
      </c>
      <c r="M210" s="0" t="s">
        <v>46</v>
      </c>
      <c r="N210" s="0" t="s">
        <v>46</v>
      </c>
      <c r="O210" s="0" t="s">
        <v>46</v>
      </c>
    </row>
    <row r="211" customFormat="false" ht="15" hidden="false" customHeight="false" outlineLevel="0" collapsed="false">
      <c r="A211" s="0" t="s">
        <v>3149</v>
      </c>
      <c r="B211" s="0" t="s">
        <v>1862</v>
      </c>
      <c r="C211" s="0" t="s">
        <v>1863</v>
      </c>
      <c r="D211" s="0" t="s">
        <v>1864</v>
      </c>
      <c r="E211" s="0" t="s">
        <v>46</v>
      </c>
      <c r="F211" s="0" t="s">
        <v>3150</v>
      </c>
      <c r="G211" s="0" t="s">
        <v>46</v>
      </c>
      <c r="H211" s="0" t="s">
        <v>46</v>
      </c>
      <c r="I211" s="0" t="s">
        <v>46</v>
      </c>
      <c r="J211" s="0" t="s">
        <v>46</v>
      </c>
      <c r="K211" s="0" t="s">
        <v>46</v>
      </c>
      <c r="L211" s="0" t="s">
        <v>46</v>
      </c>
      <c r="M211" s="0" t="s">
        <v>46</v>
      </c>
      <c r="N211" s="0" t="s">
        <v>46</v>
      </c>
      <c r="O211" s="0" t="s">
        <v>46</v>
      </c>
    </row>
    <row r="212" customFormat="false" ht="15" hidden="false" customHeight="false" outlineLevel="0" collapsed="false">
      <c r="A212" s="0" t="s">
        <v>3151</v>
      </c>
      <c r="B212" s="0" t="s">
        <v>2150</v>
      </c>
      <c r="C212" s="0" t="s">
        <v>2151</v>
      </c>
      <c r="D212" s="0" t="s">
        <v>2152</v>
      </c>
      <c r="E212" s="0" t="s">
        <v>46</v>
      </c>
      <c r="F212" s="0" t="s">
        <v>3152</v>
      </c>
      <c r="G212" s="0" t="s">
        <v>3153</v>
      </c>
      <c r="H212" s="0" t="s">
        <v>3154</v>
      </c>
      <c r="I212" s="0" t="s">
        <v>46</v>
      </c>
      <c r="J212" s="0" t="s">
        <v>46</v>
      </c>
      <c r="K212" s="0" t="s">
        <v>46</v>
      </c>
      <c r="L212" s="0" t="s">
        <v>46</v>
      </c>
      <c r="M212" s="0" t="s">
        <v>46</v>
      </c>
      <c r="N212" s="0" t="s">
        <v>46</v>
      </c>
      <c r="O212" s="0" t="s">
        <v>46</v>
      </c>
    </row>
    <row r="213" customFormat="false" ht="15" hidden="false" customHeight="false" outlineLevel="0" collapsed="false">
      <c r="A213" s="0" t="s">
        <v>3155</v>
      </c>
      <c r="B213" s="0" t="s">
        <v>137</v>
      </c>
      <c r="C213" s="0" t="s">
        <v>138</v>
      </c>
      <c r="D213" s="0" t="s">
        <v>46</v>
      </c>
      <c r="E213" s="0" t="s">
        <v>46</v>
      </c>
      <c r="F213" s="0" t="s">
        <v>46</v>
      </c>
      <c r="G213" s="0" t="s">
        <v>3156</v>
      </c>
      <c r="H213" s="0" t="s">
        <v>3157</v>
      </c>
      <c r="I213" s="0" t="s">
        <v>46</v>
      </c>
      <c r="J213" s="0" t="s">
        <v>46</v>
      </c>
      <c r="K213" s="0" t="s">
        <v>46</v>
      </c>
      <c r="L213" s="0" t="s">
        <v>46</v>
      </c>
      <c r="M213" s="0" t="s">
        <v>46</v>
      </c>
      <c r="N213" s="0" t="s">
        <v>46</v>
      </c>
      <c r="O213" s="0" t="s">
        <v>46</v>
      </c>
    </row>
    <row r="214" customFormat="false" ht="15" hidden="false" customHeight="false" outlineLevel="0" collapsed="false">
      <c r="A214" s="0" t="s">
        <v>3158</v>
      </c>
      <c r="B214" s="0" t="s">
        <v>999</v>
      </c>
      <c r="C214" s="0" t="s">
        <v>1000</v>
      </c>
      <c r="D214" s="0" t="s">
        <v>1001</v>
      </c>
      <c r="E214" s="0" t="s">
        <v>46</v>
      </c>
      <c r="F214" s="0" t="s">
        <v>46</v>
      </c>
      <c r="G214" s="0" t="s">
        <v>46</v>
      </c>
      <c r="H214" s="0" t="s">
        <v>46</v>
      </c>
      <c r="I214" s="0" t="s">
        <v>46</v>
      </c>
      <c r="J214" s="0" t="s">
        <v>46</v>
      </c>
      <c r="K214" s="0" t="s">
        <v>46</v>
      </c>
      <c r="L214" s="0" t="s">
        <v>46</v>
      </c>
      <c r="M214" s="0" t="s">
        <v>46</v>
      </c>
      <c r="N214" s="0" t="s">
        <v>46</v>
      </c>
      <c r="O214" s="0" t="s">
        <v>46</v>
      </c>
    </row>
    <row r="215" customFormat="false" ht="15" hidden="false" customHeight="false" outlineLevel="0" collapsed="false">
      <c r="A215" s="0" t="s">
        <v>3159</v>
      </c>
      <c r="B215" s="0" t="s">
        <v>2383</v>
      </c>
      <c r="C215" s="0" t="s">
        <v>2384</v>
      </c>
      <c r="D215" s="0" t="s">
        <v>2385</v>
      </c>
      <c r="E215" s="0" t="s">
        <v>46</v>
      </c>
      <c r="F215" s="0" t="s">
        <v>46</v>
      </c>
      <c r="G215" s="0" t="s">
        <v>3160</v>
      </c>
      <c r="H215" s="0" t="s">
        <v>3161</v>
      </c>
      <c r="I215" s="0" t="s">
        <v>46</v>
      </c>
      <c r="J215" s="0" t="s">
        <v>46</v>
      </c>
      <c r="K215" s="0" t="s">
        <v>46</v>
      </c>
      <c r="L215" s="0" t="s">
        <v>46</v>
      </c>
      <c r="M215" s="0" t="s">
        <v>46</v>
      </c>
      <c r="N215" s="0" t="s">
        <v>46</v>
      </c>
      <c r="O215" s="0" t="s">
        <v>46</v>
      </c>
    </row>
    <row r="216" customFormat="false" ht="15" hidden="false" customHeight="false" outlineLevel="0" collapsed="false">
      <c r="A216" s="0" t="s">
        <v>3162</v>
      </c>
      <c r="B216" s="0" t="s">
        <v>1322</v>
      </c>
      <c r="C216" s="0" t="s">
        <v>1323</v>
      </c>
      <c r="D216" s="0" t="s">
        <v>1324</v>
      </c>
      <c r="E216" s="0" t="s">
        <v>46</v>
      </c>
      <c r="F216" s="0" t="s">
        <v>46</v>
      </c>
      <c r="G216" s="0" t="s">
        <v>3163</v>
      </c>
      <c r="H216" s="0" t="s">
        <v>3164</v>
      </c>
      <c r="I216" s="0" t="s">
        <v>46</v>
      </c>
      <c r="J216" s="0" t="s">
        <v>46</v>
      </c>
      <c r="K216" s="0" t="s">
        <v>46</v>
      </c>
      <c r="L216" s="0" t="s">
        <v>46</v>
      </c>
      <c r="M216" s="0" t="s">
        <v>46</v>
      </c>
      <c r="N216" s="0" t="s">
        <v>46</v>
      </c>
      <c r="O216" s="0" t="s">
        <v>46</v>
      </c>
    </row>
    <row r="217" customFormat="false" ht="15" hidden="false" customHeight="false" outlineLevel="0" collapsed="false">
      <c r="A217" s="0" t="s">
        <v>3165</v>
      </c>
      <c r="B217" s="0" t="s">
        <v>2416</v>
      </c>
      <c r="C217" s="0" t="s">
        <v>2417</v>
      </c>
      <c r="D217" s="0" t="s">
        <v>46</v>
      </c>
      <c r="E217" s="0" t="s">
        <v>46</v>
      </c>
      <c r="F217" s="0" t="s">
        <v>46</v>
      </c>
      <c r="G217" s="0" t="s">
        <v>3166</v>
      </c>
      <c r="H217" s="0" t="s">
        <v>3167</v>
      </c>
      <c r="I217" s="0" t="s">
        <v>46</v>
      </c>
      <c r="J217" s="0" t="s">
        <v>46</v>
      </c>
      <c r="K217" s="0" t="s">
        <v>46</v>
      </c>
      <c r="L217" s="0" t="s">
        <v>46</v>
      </c>
      <c r="M217" s="0" t="s">
        <v>46</v>
      </c>
      <c r="N217" s="0" t="s">
        <v>46</v>
      </c>
      <c r="O217" s="0" t="s">
        <v>46</v>
      </c>
    </row>
    <row r="218" customFormat="false" ht="15" hidden="false" customHeight="false" outlineLevel="0" collapsed="false">
      <c r="A218" s="0" t="s">
        <v>3168</v>
      </c>
      <c r="B218" s="0" t="s">
        <v>3169</v>
      </c>
      <c r="C218" s="0" t="s">
        <v>3170</v>
      </c>
      <c r="D218" s="0" t="s">
        <v>46</v>
      </c>
      <c r="E218" s="0" t="s">
        <v>46</v>
      </c>
      <c r="F218" s="0" t="s">
        <v>46</v>
      </c>
      <c r="G218" s="0" t="s">
        <v>46</v>
      </c>
      <c r="H218" s="0" t="s">
        <v>46</v>
      </c>
      <c r="I218" s="0" t="s">
        <v>46</v>
      </c>
      <c r="J218" s="0" t="s">
        <v>46</v>
      </c>
      <c r="K218" s="0" t="s">
        <v>46</v>
      </c>
      <c r="L218" s="0" t="s">
        <v>46</v>
      </c>
      <c r="M218" s="0" t="s">
        <v>46</v>
      </c>
      <c r="N218" s="0" t="s">
        <v>46</v>
      </c>
      <c r="O218" s="0" t="s">
        <v>46</v>
      </c>
    </row>
    <row r="219" customFormat="false" ht="15" hidden="false" customHeight="false" outlineLevel="0" collapsed="false">
      <c r="A219" s="0" t="s">
        <v>3171</v>
      </c>
      <c r="B219" s="0" t="s">
        <v>3172</v>
      </c>
      <c r="C219" s="0" t="s">
        <v>3173</v>
      </c>
      <c r="D219" s="0" t="s">
        <v>46</v>
      </c>
      <c r="E219" s="0" t="s">
        <v>46</v>
      </c>
      <c r="F219" s="0" t="s">
        <v>46</v>
      </c>
      <c r="G219" s="0" t="s">
        <v>46</v>
      </c>
      <c r="H219" s="0" t="s">
        <v>46</v>
      </c>
      <c r="I219" s="0" t="s">
        <v>46</v>
      </c>
      <c r="J219" s="0" t="s">
        <v>46</v>
      </c>
      <c r="K219" s="0" t="s">
        <v>46</v>
      </c>
      <c r="L219" s="0" t="s">
        <v>46</v>
      </c>
      <c r="M219" s="0" t="s">
        <v>46</v>
      </c>
      <c r="N219" s="0" t="s">
        <v>46</v>
      </c>
      <c r="O219" s="0" t="s">
        <v>46</v>
      </c>
    </row>
    <row r="220" customFormat="false" ht="15" hidden="false" customHeight="false" outlineLevel="0" collapsed="false">
      <c r="A220" s="0" t="s">
        <v>3174</v>
      </c>
      <c r="B220" s="0" t="s">
        <v>46</v>
      </c>
      <c r="C220" s="0" t="s">
        <v>668</v>
      </c>
      <c r="D220" s="0" t="s">
        <v>669</v>
      </c>
      <c r="E220" s="0" t="s">
        <v>46</v>
      </c>
      <c r="F220" s="0" t="s">
        <v>3175</v>
      </c>
      <c r="G220" s="0" t="s">
        <v>3176</v>
      </c>
      <c r="H220" s="0" t="s">
        <v>46</v>
      </c>
      <c r="I220" s="0" t="s">
        <v>46</v>
      </c>
      <c r="J220" s="0" t="s">
        <v>46</v>
      </c>
      <c r="K220" s="0" t="s">
        <v>46</v>
      </c>
      <c r="L220" s="0" t="s">
        <v>46</v>
      </c>
      <c r="M220" s="0" t="s">
        <v>46</v>
      </c>
      <c r="N220" s="0" t="s">
        <v>46</v>
      </c>
      <c r="O220" s="0" t="s">
        <v>46</v>
      </c>
    </row>
    <row r="221" customFormat="false" ht="15" hidden="false" customHeight="false" outlineLevel="0" collapsed="false">
      <c r="A221" s="0" t="s">
        <v>3177</v>
      </c>
      <c r="B221" s="0" t="s">
        <v>646</v>
      </c>
      <c r="C221" s="0" t="s">
        <v>647</v>
      </c>
      <c r="D221" s="0" t="s">
        <v>648</v>
      </c>
      <c r="E221" s="0" t="s">
        <v>46</v>
      </c>
      <c r="F221" s="0" t="s">
        <v>46</v>
      </c>
      <c r="G221" s="0" t="s">
        <v>46</v>
      </c>
      <c r="H221" s="0" t="s">
        <v>46</v>
      </c>
      <c r="I221" s="0" t="s">
        <v>46</v>
      </c>
      <c r="J221" s="0" t="s">
        <v>46</v>
      </c>
      <c r="K221" s="0" t="s">
        <v>46</v>
      </c>
      <c r="L221" s="0" t="s">
        <v>46</v>
      </c>
      <c r="M221" s="0" t="s">
        <v>46</v>
      </c>
      <c r="N221" s="0" t="s">
        <v>46</v>
      </c>
      <c r="O221" s="0" t="s">
        <v>46</v>
      </c>
    </row>
    <row r="222" customFormat="false" ht="15" hidden="false" customHeight="false" outlineLevel="0" collapsed="false">
      <c r="A222" s="0" t="s">
        <v>3178</v>
      </c>
      <c r="B222" s="0" t="s">
        <v>46</v>
      </c>
      <c r="C222" s="0" t="s">
        <v>2275</v>
      </c>
      <c r="D222" s="0" t="s">
        <v>46</v>
      </c>
      <c r="E222" s="0" t="s">
        <v>46</v>
      </c>
      <c r="F222" s="0" t="s">
        <v>46</v>
      </c>
      <c r="G222" s="0" t="s">
        <v>46</v>
      </c>
      <c r="H222" s="0" t="s">
        <v>46</v>
      </c>
      <c r="I222" s="0" t="s">
        <v>46</v>
      </c>
      <c r="J222" s="0" t="s">
        <v>46</v>
      </c>
      <c r="K222" s="0" t="s">
        <v>46</v>
      </c>
      <c r="L222" s="0" t="s">
        <v>46</v>
      </c>
      <c r="M222" s="0" t="s">
        <v>46</v>
      </c>
      <c r="N222" s="0" t="s">
        <v>46</v>
      </c>
      <c r="O222" s="0" t="s">
        <v>46</v>
      </c>
    </row>
    <row r="223" customFormat="false" ht="15" hidden="false" customHeight="false" outlineLevel="0" collapsed="false">
      <c r="A223" s="0" t="s">
        <v>3179</v>
      </c>
      <c r="B223" s="0" t="s">
        <v>1588</v>
      </c>
      <c r="C223" s="0" t="s">
        <v>1589</v>
      </c>
      <c r="D223" s="0" t="s">
        <v>1590</v>
      </c>
      <c r="E223" s="0" t="s">
        <v>46</v>
      </c>
      <c r="F223" s="0" t="s">
        <v>46</v>
      </c>
      <c r="G223" s="0" t="s">
        <v>3180</v>
      </c>
      <c r="H223" s="0" t="s">
        <v>3181</v>
      </c>
      <c r="I223" s="0" t="s">
        <v>46</v>
      </c>
      <c r="J223" s="0" t="s">
        <v>46</v>
      </c>
      <c r="K223" s="0" t="s">
        <v>46</v>
      </c>
      <c r="L223" s="0" t="s">
        <v>46</v>
      </c>
      <c r="M223" s="0" t="s">
        <v>46</v>
      </c>
      <c r="N223" s="0" t="s">
        <v>46</v>
      </c>
      <c r="O223" s="0" t="s">
        <v>46</v>
      </c>
    </row>
    <row r="224" customFormat="false" ht="15" hidden="false" customHeight="false" outlineLevel="0" collapsed="false">
      <c r="A224" s="0" t="s">
        <v>3182</v>
      </c>
      <c r="B224" s="0" t="s">
        <v>1879</v>
      </c>
      <c r="C224" s="0" t="s">
        <v>1880</v>
      </c>
      <c r="D224" s="0" t="s">
        <v>1881</v>
      </c>
      <c r="E224" s="0" t="s">
        <v>46</v>
      </c>
      <c r="F224" s="0" t="s">
        <v>3183</v>
      </c>
      <c r="G224" s="0" t="s">
        <v>3184</v>
      </c>
      <c r="H224" s="0" t="s">
        <v>3185</v>
      </c>
      <c r="I224" s="0" t="s">
        <v>46</v>
      </c>
      <c r="J224" s="0" t="s">
        <v>46</v>
      </c>
      <c r="K224" s="0" t="s">
        <v>46</v>
      </c>
      <c r="L224" s="0" t="s">
        <v>46</v>
      </c>
      <c r="M224" s="0" t="s">
        <v>46</v>
      </c>
      <c r="N224" s="0" t="s">
        <v>46</v>
      </c>
      <c r="O224" s="0" t="s">
        <v>46</v>
      </c>
    </row>
    <row r="225" customFormat="false" ht="15" hidden="false" customHeight="false" outlineLevel="0" collapsed="false">
      <c r="A225" s="0" t="s">
        <v>3186</v>
      </c>
      <c r="B225" s="0" t="s">
        <v>508</v>
      </c>
      <c r="C225" s="0" t="s">
        <v>509</v>
      </c>
      <c r="D225" s="0" t="s">
        <v>510</v>
      </c>
      <c r="E225" s="0" t="s">
        <v>46</v>
      </c>
      <c r="F225" s="0" t="s">
        <v>3187</v>
      </c>
      <c r="G225" s="0" t="s">
        <v>3188</v>
      </c>
      <c r="H225" s="0" t="s">
        <v>3189</v>
      </c>
      <c r="I225" s="0" t="s">
        <v>46</v>
      </c>
      <c r="J225" s="0" t="s">
        <v>46</v>
      </c>
      <c r="K225" s="0" t="s">
        <v>46</v>
      </c>
      <c r="L225" s="0" t="s">
        <v>46</v>
      </c>
      <c r="M225" s="0" t="s">
        <v>46</v>
      </c>
      <c r="N225" s="0" t="s">
        <v>46</v>
      </c>
      <c r="O225" s="0" t="s">
        <v>46</v>
      </c>
    </row>
    <row r="226" customFormat="false" ht="15" hidden="false" customHeight="false" outlineLevel="0" collapsed="false">
      <c r="A226" s="0" t="s">
        <v>3190</v>
      </c>
      <c r="B226" s="0" t="s">
        <v>1503</v>
      </c>
      <c r="C226" s="0" t="s">
        <v>1504</v>
      </c>
      <c r="D226" s="0" t="s">
        <v>1505</v>
      </c>
      <c r="E226" s="0" t="s">
        <v>46</v>
      </c>
      <c r="F226" s="0" t="s">
        <v>3191</v>
      </c>
      <c r="G226" s="0" t="s">
        <v>3192</v>
      </c>
      <c r="H226" s="0" t="s">
        <v>3193</v>
      </c>
      <c r="I226" s="0" t="s">
        <v>46</v>
      </c>
      <c r="J226" s="0" t="s">
        <v>46</v>
      </c>
      <c r="K226" s="0" t="s">
        <v>46</v>
      </c>
      <c r="L226" s="0" t="s">
        <v>46</v>
      </c>
      <c r="M226" s="0" t="s">
        <v>46</v>
      </c>
      <c r="N226" s="0" t="s">
        <v>46</v>
      </c>
      <c r="O226" s="0" t="s">
        <v>46</v>
      </c>
    </row>
    <row r="227" customFormat="false" ht="15" hidden="false" customHeight="false" outlineLevel="0" collapsed="false">
      <c r="A227" s="0" t="s">
        <v>3194</v>
      </c>
      <c r="B227" s="0" t="s">
        <v>1317</v>
      </c>
      <c r="C227" s="0" t="s">
        <v>1318</v>
      </c>
      <c r="D227" s="0" t="s">
        <v>1319</v>
      </c>
      <c r="E227" s="0" t="s">
        <v>46</v>
      </c>
      <c r="F227" s="0" t="s">
        <v>3195</v>
      </c>
      <c r="G227" s="0" t="s">
        <v>3196</v>
      </c>
      <c r="H227" s="0" t="s">
        <v>3197</v>
      </c>
      <c r="I227" s="0" t="s">
        <v>46</v>
      </c>
      <c r="J227" s="0" t="s">
        <v>46</v>
      </c>
      <c r="K227" s="0" t="s">
        <v>46</v>
      </c>
      <c r="L227" s="0" t="s">
        <v>46</v>
      </c>
      <c r="M227" s="0" t="s">
        <v>46</v>
      </c>
      <c r="N227" s="0" t="s">
        <v>46</v>
      </c>
      <c r="O227" s="0" t="s">
        <v>46</v>
      </c>
    </row>
    <row r="228" customFormat="false" ht="15" hidden="false" customHeight="false" outlineLevel="0" collapsed="false">
      <c r="A228" s="0" t="s">
        <v>3198</v>
      </c>
      <c r="B228" s="0" t="s">
        <v>464</v>
      </c>
      <c r="C228" s="0" t="s">
        <v>465</v>
      </c>
      <c r="D228" s="0" t="s">
        <v>46</v>
      </c>
      <c r="E228" s="0" t="s">
        <v>46</v>
      </c>
      <c r="F228" s="0" t="s">
        <v>3199</v>
      </c>
      <c r="G228" s="0" t="s">
        <v>46</v>
      </c>
      <c r="H228" s="0" t="s">
        <v>46</v>
      </c>
      <c r="I228" s="0" t="s">
        <v>46</v>
      </c>
      <c r="J228" s="0" t="s">
        <v>46</v>
      </c>
      <c r="K228" s="0" t="s">
        <v>46</v>
      </c>
      <c r="L228" s="0" t="s">
        <v>46</v>
      </c>
      <c r="M228" s="0" t="s">
        <v>46</v>
      </c>
      <c r="N228" s="0" t="s">
        <v>46</v>
      </c>
      <c r="O228" s="0" t="s">
        <v>46</v>
      </c>
    </row>
    <row r="229" customFormat="false" ht="15" hidden="false" customHeight="false" outlineLevel="0" collapsed="false">
      <c r="A229" s="0" t="s">
        <v>3200</v>
      </c>
      <c r="B229" s="0" t="s">
        <v>1868</v>
      </c>
      <c r="C229" s="0" t="s">
        <v>1869</v>
      </c>
      <c r="D229" s="0" t="s">
        <v>46</v>
      </c>
      <c r="E229" s="0" t="s">
        <v>46</v>
      </c>
      <c r="F229" s="0" t="s">
        <v>46</v>
      </c>
      <c r="G229" s="0" t="s">
        <v>46</v>
      </c>
      <c r="H229" s="0" t="s">
        <v>46</v>
      </c>
      <c r="I229" s="0" t="s">
        <v>46</v>
      </c>
      <c r="J229" s="0" t="s">
        <v>46</v>
      </c>
      <c r="K229" s="0" t="s">
        <v>46</v>
      </c>
      <c r="L229" s="0" t="s">
        <v>46</v>
      </c>
      <c r="M229" s="0" t="s">
        <v>46</v>
      </c>
      <c r="N229" s="0" t="s">
        <v>46</v>
      </c>
      <c r="O229" s="0" t="s">
        <v>46</v>
      </c>
    </row>
    <row r="230" customFormat="false" ht="15" hidden="false" customHeight="false" outlineLevel="0" collapsed="false">
      <c r="A230" s="0" t="s">
        <v>3201</v>
      </c>
      <c r="B230" s="0" t="s">
        <v>862</v>
      </c>
      <c r="C230" s="0" t="s">
        <v>863</v>
      </c>
      <c r="D230" s="0" t="s">
        <v>864</v>
      </c>
      <c r="E230" s="0" t="s">
        <v>46</v>
      </c>
      <c r="F230" s="0" t="s">
        <v>46</v>
      </c>
      <c r="G230" s="0" t="s">
        <v>3202</v>
      </c>
      <c r="H230" s="0" t="s">
        <v>3203</v>
      </c>
      <c r="I230" s="0" t="s">
        <v>46</v>
      </c>
      <c r="J230" s="0" t="s">
        <v>46</v>
      </c>
      <c r="K230" s="0" t="s">
        <v>46</v>
      </c>
      <c r="L230" s="0" t="s">
        <v>46</v>
      </c>
      <c r="M230" s="0" t="s">
        <v>46</v>
      </c>
      <c r="N230" s="0" t="s">
        <v>46</v>
      </c>
      <c r="O230" s="0" t="s">
        <v>46</v>
      </c>
    </row>
    <row r="231" customFormat="false" ht="15" hidden="false" customHeight="false" outlineLevel="0" collapsed="false">
      <c r="A231" s="0" t="s">
        <v>3204</v>
      </c>
      <c r="B231" s="0" t="s">
        <v>721</v>
      </c>
      <c r="C231" s="0" t="s">
        <v>722</v>
      </c>
      <c r="D231" s="0" t="s">
        <v>723</v>
      </c>
      <c r="E231" s="0" t="s">
        <v>46</v>
      </c>
      <c r="F231" s="0" t="s">
        <v>46</v>
      </c>
      <c r="G231" s="0" t="s">
        <v>3205</v>
      </c>
      <c r="H231" s="0" t="s">
        <v>3206</v>
      </c>
      <c r="I231" s="0" t="s">
        <v>46</v>
      </c>
      <c r="J231" s="0" t="s">
        <v>46</v>
      </c>
      <c r="K231" s="0" t="s">
        <v>46</v>
      </c>
      <c r="L231" s="0" t="s">
        <v>46</v>
      </c>
      <c r="M231" s="0" t="s">
        <v>46</v>
      </c>
      <c r="N231" s="0" t="s">
        <v>46</v>
      </c>
      <c r="O231" s="0" t="s">
        <v>46</v>
      </c>
    </row>
    <row r="232" customFormat="false" ht="15" hidden="false" customHeight="false" outlineLevel="0" collapsed="false">
      <c r="A232" s="0" t="s">
        <v>3207</v>
      </c>
      <c r="B232" s="0" t="s">
        <v>2090</v>
      </c>
      <c r="C232" s="0" t="s">
        <v>2091</v>
      </c>
      <c r="D232" s="0" t="s">
        <v>2092</v>
      </c>
      <c r="E232" s="0" t="s">
        <v>46</v>
      </c>
      <c r="F232" s="0" t="s">
        <v>46</v>
      </c>
      <c r="G232" s="0" t="s">
        <v>3208</v>
      </c>
      <c r="H232" s="0" t="s">
        <v>46</v>
      </c>
      <c r="I232" s="0" t="s">
        <v>46</v>
      </c>
      <c r="J232" s="0" t="s">
        <v>46</v>
      </c>
      <c r="K232" s="0" t="s">
        <v>46</v>
      </c>
      <c r="L232" s="0" t="s">
        <v>46</v>
      </c>
      <c r="M232" s="0" t="s">
        <v>46</v>
      </c>
      <c r="N232" s="0" t="s">
        <v>46</v>
      </c>
      <c r="O232" s="0" t="s">
        <v>46</v>
      </c>
    </row>
    <row r="233" customFormat="false" ht="15" hidden="false" customHeight="false" outlineLevel="0" collapsed="false">
      <c r="A233" s="0" t="s">
        <v>3209</v>
      </c>
      <c r="B233" s="0" t="s">
        <v>395</v>
      </c>
      <c r="C233" s="0" t="s">
        <v>396</v>
      </c>
      <c r="D233" s="0" t="s">
        <v>397</v>
      </c>
      <c r="E233" s="0" t="s">
        <v>46</v>
      </c>
      <c r="F233" s="0" t="s">
        <v>3210</v>
      </c>
      <c r="G233" s="0" t="s">
        <v>3211</v>
      </c>
      <c r="H233" s="0" t="s">
        <v>3212</v>
      </c>
      <c r="I233" s="0" t="s">
        <v>46</v>
      </c>
      <c r="J233" s="0" t="s">
        <v>46</v>
      </c>
      <c r="K233" s="0" t="s">
        <v>46</v>
      </c>
      <c r="L233" s="0" t="s">
        <v>46</v>
      </c>
      <c r="M233" s="0" t="s">
        <v>46</v>
      </c>
      <c r="N233" s="0" t="s">
        <v>46</v>
      </c>
      <c r="O233" s="0" t="s">
        <v>46</v>
      </c>
    </row>
    <row r="234" customFormat="false" ht="15" hidden="false" customHeight="false" outlineLevel="0" collapsed="false">
      <c r="A234" s="0" t="s">
        <v>3213</v>
      </c>
      <c r="B234" s="0" t="s">
        <v>1940</v>
      </c>
      <c r="C234" s="0" t="s">
        <v>1941</v>
      </c>
      <c r="D234" s="0" t="s">
        <v>1942</v>
      </c>
      <c r="E234" s="0" t="s">
        <v>46</v>
      </c>
      <c r="F234" s="0" t="s">
        <v>3214</v>
      </c>
      <c r="G234" s="0" t="s">
        <v>3215</v>
      </c>
      <c r="H234" s="0" t="s">
        <v>46</v>
      </c>
      <c r="I234" s="0" t="s">
        <v>46</v>
      </c>
      <c r="J234" s="0" t="s">
        <v>46</v>
      </c>
      <c r="K234" s="0" t="s">
        <v>46</v>
      </c>
      <c r="L234" s="0" t="s">
        <v>46</v>
      </c>
      <c r="M234" s="0" t="s">
        <v>46</v>
      </c>
      <c r="N234" s="0" t="s">
        <v>46</v>
      </c>
      <c r="O234" s="0" t="s">
        <v>46</v>
      </c>
    </row>
    <row r="235" customFormat="false" ht="15" hidden="false" customHeight="false" outlineLevel="0" collapsed="false">
      <c r="A235" s="0" t="s">
        <v>3216</v>
      </c>
      <c r="B235" s="0" t="s">
        <v>2289</v>
      </c>
      <c r="C235" s="0" t="s">
        <v>2290</v>
      </c>
      <c r="D235" s="0" t="s">
        <v>46</v>
      </c>
      <c r="E235" s="0" t="s">
        <v>46</v>
      </c>
      <c r="F235" s="0" t="s">
        <v>46</v>
      </c>
      <c r="G235" s="0" t="s">
        <v>46</v>
      </c>
      <c r="H235" s="0" t="s">
        <v>46</v>
      </c>
      <c r="I235" s="0" t="s">
        <v>46</v>
      </c>
      <c r="J235" s="0" t="s">
        <v>46</v>
      </c>
      <c r="K235" s="0" t="s">
        <v>46</v>
      </c>
      <c r="L235" s="0" t="s">
        <v>46</v>
      </c>
      <c r="M235" s="0" t="s">
        <v>46</v>
      </c>
      <c r="N235" s="0" t="s">
        <v>46</v>
      </c>
      <c r="O235" s="0" t="s">
        <v>46</v>
      </c>
    </row>
    <row r="236" customFormat="false" ht="15" hidden="false" customHeight="false" outlineLevel="0" collapsed="false">
      <c r="A236" s="0" t="s">
        <v>3217</v>
      </c>
      <c r="B236" s="0" t="s">
        <v>1292</v>
      </c>
      <c r="C236" s="0" t="s">
        <v>1293</v>
      </c>
      <c r="D236" s="0" t="s">
        <v>1294</v>
      </c>
      <c r="E236" s="0" t="s">
        <v>46</v>
      </c>
      <c r="F236" s="0" t="s">
        <v>3218</v>
      </c>
      <c r="G236" s="0" t="s">
        <v>3219</v>
      </c>
      <c r="H236" s="0" t="s">
        <v>3220</v>
      </c>
      <c r="I236" s="0" t="s">
        <v>46</v>
      </c>
      <c r="J236" s="0" t="s">
        <v>46</v>
      </c>
      <c r="K236" s="0" t="s">
        <v>46</v>
      </c>
      <c r="L236" s="0" t="s">
        <v>46</v>
      </c>
      <c r="M236" s="0" t="s">
        <v>46</v>
      </c>
      <c r="N236" s="0" t="s">
        <v>46</v>
      </c>
      <c r="O236" s="0" t="s">
        <v>46</v>
      </c>
    </row>
    <row r="237" customFormat="false" ht="15" hidden="false" customHeight="false" outlineLevel="0" collapsed="false">
      <c r="A237" s="0" t="s">
        <v>3221</v>
      </c>
      <c r="B237" s="0" t="s">
        <v>521</v>
      </c>
      <c r="C237" s="0" t="s">
        <v>522</v>
      </c>
      <c r="D237" s="0" t="s">
        <v>46</v>
      </c>
      <c r="E237" s="0" t="s">
        <v>46</v>
      </c>
      <c r="F237" s="0" t="s">
        <v>3222</v>
      </c>
      <c r="G237" s="0" t="s">
        <v>3223</v>
      </c>
      <c r="H237" s="0" t="s">
        <v>3224</v>
      </c>
      <c r="I237" s="0" t="s">
        <v>46</v>
      </c>
      <c r="J237" s="0" t="s">
        <v>46</v>
      </c>
      <c r="K237" s="0" t="s">
        <v>46</v>
      </c>
      <c r="L237" s="0" t="s">
        <v>46</v>
      </c>
      <c r="M237" s="0" t="s">
        <v>46</v>
      </c>
      <c r="N237" s="0" t="s">
        <v>46</v>
      </c>
      <c r="O237" s="0" t="s">
        <v>46</v>
      </c>
    </row>
    <row r="238" customFormat="false" ht="15" hidden="false" customHeight="false" outlineLevel="0" collapsed="false">
      <c r="A238" s="0" t="s">
        <v>3225</v>
      </c>
      <c r="B238" s="0" t="s">
        <v>1088</v>
      </c>
      <c r="C238" s="0" t="s">
        <v>1089</v>
      </c>
      <c r="D238" s="0" t="s">
        <v>1090</v>
      </c>
      <c r="E238" s="0" t="s">
        <v>46</v>
      </c>
      <c r="F238" s="0" t="s">
        <v>3226</v>
      </c>
      <c r="G238" s="0" t="s">
        <v>3227</v>
      </c>
      <c r="H238" s="0" t="s">
        <v>3228</v>
      </c>
      <c r="I238" s="0" t="s">
        <v>46</v>
      </c>
      <c r="J238" s="0" t="s">
        <v>46</v>
      </c>
      <c r="K238" s="0" t="s">
        <v>46</v>
      </c>
      <c r="L238" s="0" t="s">
        <v>46</v>
      </c>
      <c r="M238" s="0" t="s">
        <v>46</v>
      </c>
      <c r="N238" s="0" t="s">
        <v>46</v>
      </c>
      <c r="O238" s="0" t="s">
        <v>46</v>
      </c>
    </row>
    <row r="239" customFormat="false" ht="15" hidden="false" customHeight="false" outlineLevel="0" collapsed="false">
      <c r="A239" s="0" t="s">
        <v>3229</v>
      </c>
      <c r="B239" s="0" t="s">
        <v>775</v>
      </c>
      <c r="C239" s="0" t="s">
        <v>776</v>
      </c>
      <c r="D239" s="0" t="s">
        <v>777</v>
      </c>
      <c r="E239" s="0" t="s">
        <v>46</v>
      </c>
      <c r="F239" s="0" t="s">
        <v>3230</v>
      </c>
      <c r="G239" s="0" t="s">
        <v>3231</v>
      </c>
      <c r="H239" s="0" t="s">
        <v>3232</v>
      </c>
      <c r="I239" s="0" t="s">
        <v>46</v>
      </c>
      <c r="J239" s="0" t="s">
        <v>46</v>
      </c>
      <c r="K239" s="0" t="s">
        <v>46</v>
      </c>
      <c r="L239" s="0" t="s">
        <v>46</v>
      </c>
      <c r="M239" s="0" t="s">
        <v>46</v>
      </c>
      <c r="N239" s="0" t="s">
        <v>46</v>
      </c>
      <c r="O239" s="0" t="s">
        <v>46</v>
      </c>
    </row>
    <row r="240" customFormat="false" ht="15" hidden="false" customHeight="false" outlineLevel="0" collapsed="false">
      <c r="A240" s="0" t="s">
        <v>3233</v>
      </c>
      <c r="B240" s="0" t="s">
        <v>325</v>
      </c>
      <c r="C240" s="0" t="s">
        <v>326</v>
      </c>
      <c r="D240" s="0" t="s">
        <v>327</v>
      </c>
      <c r="E240" s="0" t="s">
        <v>46</v>
      </c>
      <c r="F240" s="0" t="s">
        <v>3234</v>
      </c>
      <c r="G240" s="0" t="s">
        <v>3235</v>
      </c>
      <c r="H240" s="0" t="s">
        <v>2467</v>
      </c>
      <c r="I240" s="0" t="s">
        <v>46</v>
      </c>
      <c r="J240" s="0" t="s">
        <v>46</v>
      </c>
      <c r="K240" s="0" t="s">
        <v>46</v>
      </c>
      <c r="L240" s="0" t="s">
        <v>46</v>
      </c>
      <c r="M240" s="0" t="s">
        <v>46</v>
      </c>
      <c r="N240" s="0" t="s">
        <v>46</v>
      </c>
      <c r="O240" s="0" t="s">
        <v>46</v>
      </c>
    </row>
    <row r="241" customFormat="false" ht="15" hidden="false" customHeight="false" outlineLevel="0" collapsed="false">
      <c r="A241" s="0" t="s">
        <v>3236</v>
      </c>
      <c r="B241" s="0" t="s">
        <v>1509</v>
      </c>
      <c r="C241" s="0" t="s">
        <v>1510</v>
      </c>
      <c r="D241" s="0" t="s">
        <v>1511</v>
      </c>
      <c r="E241" s="0" t="s">
        <v>46</v>
      </c>
      <c r="F241" s="0" t="s">
        <v>3237</v>
      </c>
      <c r="G241" s="0" t="s">
        <v>3238</v>
      </c>
      <c r="H241" s="0" t="s">
        <v>3239</v>
      </c>
      <c r="I241" s="0" t="s">
        <v>46</v>
      </c>
      <c r="J241" s="0" t="s">
        <v>46</v>
      </c>
      <c r="K241" s="0" t="s">
        <v>46</v>
      </c>
      <c r="L241" s="0" t="s">
        <v>46</v>
      </c>
      <c r="M241" s="0" t="s">
        <v>46</v>
      </c>
      <c r="N241" s="0" t="s">
        <v>46</v>
      </c>
      <c r="O241" s="0" t="s">
        <v>46</v>
      </c>
    </row>
    <row r="242" customFormat="false" ht="15" hidden="false" customHeight="false" outlineLevel="0" collapsed="false">
      <c r="A242" s="0" t="s">
        <v>3240</v>
      </c>
      <c r="B242" s="0" t="s">
        <v>3241</v>
      </c>
      <c r="C242" s="0" t="s">
        <v>3242</v>
      </c>
      <c r="D242" s="0" t="s">
        <v>46</v>
      </c>
      <c r="E242" s="0" t="s">
        <v>46</v>
      </c>
      <c r="F242" s="0" t="s">
        <v>46</v>
      </c>
      <c r="G242" s="0" t="s">
        <v>3243</v>
      </c>
      <c r="H242" s="0" t="s">
        <v>3167</v>
      </c>
      <c r="I242" s="0" t="s">
        <v>46</v>
      </c>
      <c r="J242" s="0" t="s">
        <v>46</v>
      </c>
      <c r="K242" s="0" t="s">
        <v>46</v>
      </c>
      <c r="L242" s="0" t="s">
        <v>46</v>
      </c>
      <c r="M242" s="0" t="s">
        <v>46</v>
      </c>
      <c r="N242" s="0" t="s">
        <v>46</v>
      </c>
      <c r="O242" s="0" t="s">
        <v>46</v>
      </c>
    </row>
    <row r="243" customFormat="false" ht="15" hidden="false" customHeight="false" outlineLevel="0" collapsed="false">
      <c r="A243" s="0" t="s">
        <v>3244</v>
      </c>
      <c r="B243" s="0" t="s">
        <v>2304</v>
      </c>
      <c r="C243" s="0" t="s">
        <v>2305</v>
      </c>
      <c r="D243" s="0" t="s">
        <v>46</v>
      </c>
      <c r="E243" s="0" t="s">
        <v>46</v>
      </c>
      <c r="F243" s="0" t="s">
        <v>3245</v>
      </c>
      <c r="G243" s="0" t="s">
        <v>3246</v>
      </c>
      <c r="H243" s="0" t="s">
        <v>2467</v>
      </c>
      <c r="I243" s="0" t="s">
        <v>46</v>
      </c>
      <c r="J243" s="0" t="s">
        <v>46</v>
      </c>
      <c r="K243" s="0" t="s">
        <v>46</v>
      </c>
      <c r="L243" s="0" t="s">
        <v>46</v>
      </c>
      <c r="M243" s="0" t="s">
        <v>46</v>
      </c>
      <c r="N243" s="0" t="s">
        <v>46</v>
      </c>
      <c r="O243" s="0" t="s">
        <v>46</v>
      </c>
    </row>
    <row r="244" customFormat="false" ht="15" hidden="false" customHeight="false" outlineLevel="0" collapsed="false">
      <c r="A244" s="0" t="s">
        <v>3247</v>
      </c>
      <c r="B244" s="0" t="s">
        <v>3248</v>
      </c>
      <c r="C244" s="0" t="s">
        <v>3249</v>
      </c>
      <c r="D244" s="0" t="s">
        <v>3250</v>
      </c>
      <c r="E244" s="0" t="s">
        <v>46</v>
      </c>
      <c r="F244" s="0" t="s">
        <v>46</v>
      </c>
      <c r="G244" s="0" t="s">
        <v>3251</v>
      </c>
      <c r="H244" s="0" t="s">
        <v>3252</v>
      </c>
      <c r="I244" s="0" t="s">
        <v>46</v>
      </c>
      <c r="J244" s="0" t="s">
        <v>46</v>
      </c>
      <c r="K244" s="0" t="s">
        <v>46</v>
      </c>
      <c r="L244" s="0" t="s">
        <v>46</v>
      </c>
      <c r="M244" s="0" t="s">
        <v>46</v>
      </c>
      <c r="N244" s="0" t="s">
        <v>46</v>
      </c>
      <c r="O244" s="0" t="s">
        <v>46</v>
      </c>
    </row>
    <row r="245" customFormat="false" ht="15" hidden="false" customHeight="false" outlineLevel="0" collapsed="false">
      <c r="A245" s="0" t="s">
        <v>3253</v>
      </c>
      <c r="B245" s="0" t="s">
        <v>3254</v>
      </c>
      <c r="C245" s="0" t="s">
        <v>3255</v>
      </c>
      <c r="D245" s="0" t="s">
        <v>3256</v>
      </c>
      <c r="E245" s="0" t="s">
        <v>46</v>
      </c>
      <c r="F245" s="0" t="s">
        <v>46</v>
      </c>
      <c r="G245" s="0" t="s">
        <v>46</v>
      </c>
      <c r="H245" s="0" t="s">
        <v>46</v>
      </c>
      <c r="I245" s="0" t="s">
        <v>46</v>
      </c>
      <c r="J245" s="0" t="s">
        <v>46</v>
      </c>
      <c r="K245" s="0" t="s">
        <v>46</v>
      </c>
      <c r="L245" s="0" t="s">
        <v>46</v>
      </c>
      <c r="M245" s="0" t="s">
        <v>46</v>
      </c>
      <c r="N245" s="0" t="s">
        <v>46</v>
      </c>
      <c r="O245" s="0" t="s">
        <v>46</v>
      </c>
    </row>
    <row r="246" customFormat="false" ht="15" hidden="false" customHeight="false" outlineLevel="0" collapsed="false">
      <c r="A246" s="0" t="s">
        <v>3257</v>
      </c>
      <c r="B246" s="0" t="s">
        <v>1498</v>
      </c>
      <c r="C246" s="0" t="s">
        <v>1499</v>
      </c>
      <c r="D246" s="0" t="s">
        <v>1500</v>
      </c>
      <c r="E246" s="0" t="s">
        <v>46</v>
      </c>
      <c r="F246" s="0" t="s">
        <v>46</v>
      </c>
      <c r="G246" s="0" t="s">
        <v>46</v>
      </c>
      <c r="H246" s="0" t="s">
        <v>46</v>
      </c>
      <c r="I246" s="0" t="s">
        <v>46</v>
      </c>
      <c r="J246" s="0" t="s">
        <v>46</v>
      </c>
      <c r="K246" s="0" t="s">
        <v>46</v>
      </c>
      <c r="L246" s="0" t="s">
        <v>46</v>
      </c>
      <c r="M246" s="0" t="s">
        <v>46</v>
      </c>
      <c r="N246" s="0" t="s">
        <v>46</v>
      </c>
      <c r="O246" s="0" t="s">
        <v>46</v>
      </c>
    </row>
    <row r="247" customFormat="false" ht="15" hidden="false" customHeight="false" outlineLevel="0" collapsed="false">
      <c r="A247" s="0" t="s">
        <v>3258</v>
      </c>
      <c r="B247" s="0" t="s">
        <v>179</v>
      </c>
      <c r="C247" s="0" t="s">
        <v>180</v>
      </c>
      <c r="D247" s="0" t="s">
        <v>181</v>
      </c>
      <c r="E247" s="0" t="s">
        <v>46</v>
      </c>
      <c r="F247" s="0" t="s">
        <v>3259</v>
      </c>
      <c r="G247" s="0" t="s">
        <v>46</v>
      </c>
      <c r="H247" s="0" t="s">
        <v>46</v>
      </c>
      <c r="I247" s="0" t="s">
        <v>46</v>
      </c>
      <c r="J247" s="0" t="s">
        <v>46</v>
      </c>
      <c r="K247" s="0" t="s">
        <v>46</v>
      </c>
      <c r="L247" s="0" t="s">
        <v>46</v>
      </c>
      <c r="M247" s="0" t="s">
        <v>46</v>
      </c>
      <c r="N247" s="0" t="s">
        <v>46</v>
      </c>
      <c r="O247" s="0" t="s">
        <v>46</v>
      </c>
    </row>
    <row r="248" customFormat="false" ht="15" hidden="false" customHeight="false" outlineLevel="0" collapsed="false">
      <c r="A248" s="0" t="s">
        <v>3260</v>
      </c>
      <c r="B248" s="0" t="s">
        <v>1856</v>
      </c>
      <c r="C248" s="0" t="s">
        <v>1857</v>
      </c>
      <c r="D248" s="0" t="s">
        <v>1858</v>
      </c>
      <c r="E248" s="0" t="s">
        <v>46</v>
      </c>
      <c r="F248" s="0" t="s">
        <v>3261</v>
      </c>
      <c r="G248" s="0" t="s">
        <v>3262</v>
      </c>
      <c r="H248" s="0" t="s">
        <v>3263</v>
      </c>
      <c r="I248" s="0" t="s">
        <v>46</v>
      </c>
      <c r="J248" s="0" t="s">
        <v>46</v>
      </c>
      <c r="K248" s="0" t="s">
        <v>46</v>
      </c>
      <c r="L248" s="0" t="s">
        <v>46</v>
      </c>
      <c r="M248" s="0" t="s">
        <v>46</v>
      </c>
      <c r="N248" s="0" t="s">
        <v>46</v>
      </c>
      <c r="O248" s="0" t="s">
        <v>46</v>
      </c>
    </row>
    <row r="249" customFormat="false" ht="15" hidden="false" customHeight="false" outlineLevel="0" collapsed="false">
      <c r="A249" s="0" t="s">
        <v>3264</v>
      </c>
      <c r="B249" s="0" t="s">
        <v>412</v>
      </c>
      <c r="C249" s="0" t="s">
        <v>413</v>
      </c>
      <c r="D249" s="0" t="s">
        <v>414</v>
      </c>
      <c r="E249" s="0" t="s">
        <v>46</v>
      </c>
      <c r="F249" s="0" t="s">
        <v>46</v>
      </c>
      <c r="G249" s="0" t="s">
        <v>46</v>
      </c>
      <c r="H249" s="0" t="s">
        <v>46</v>
      </c>
      <c r="I249" s="0" t="s">
        <v>46</v>
      </c>
      <c r="J249" s="0" t="s">
        <v>46</v>
      </c>
      <c r="K249" s="0" t="s">
        <v>46</v>
      </c>
      <c r="L249" s="0" t="s">
        <v>46</v>
      </c>
      <c r="M249" s="0" t="s">
        <v>46</v>
      </c>
      <c r="N249" s="0" t="s">
        <v>46</v>
      </c>
      <c r="O249" s="0" t="s">
        <v>46</v>
      </c>
    </row>
    <row r="250" customFormat="false" ht="15" hidden="false" customHeight="false" outlineLevel="0" collapsed="false">
      <c r="A250" s="0" t="s">
        <v>3265</v>
      </c>
      <c r="B250" s="0" t="s">
        <v>160</v>
      </c>
      <c r="C250" s="0" t="s">
        <v>161</v>
      </c>
      <c r="D250" s="0" t="s">
        <v>162</v>
      </c>
      <c r="E250" s="0" t="s">
        <v>46</v>
      </c>
      <c r="F250" s="0" t="s">
        <v>3266</v>
      </c>
      <c r="G250" s="0" t="s">
        <v>3267</v>
      </c>
      <c r="H250" s="0" t="s">
        <v>46</v>
      </c>
      <c r="I250" s="0" t="s">
        <v>46</v>
      </c>
      <c r="J250" s="0" t="s">
        <v>46</v>
      </c>
      <c r="K250" s="0" t="s">
        <v>46</v>
      </c>
      <c r="L250" s="0" t="s">
        <v>46</v>
      </c>
      <c r="M250" s="0" t="s">
        <v>46</v>
      </c>
      <c r="N250" s="0" t="s">
        <v>46</v>
      </c>
      <c r="O250" s="0" t="s">
        <v>46</v>
      </c>
    </row>
    <row r="251" customFormat="false" ht="15" hidden="false" customHeight="false" outlineLevel="0" collapsed="false">
      <c r="A251" s="0" t="s">
        <v>3268</v>
      </c>
      <c r="B251" s="0" t="s">
        <v>2169</v>
      </c>
      <c r="C251" s="0" t="s">
        <v>2170</v>
      </c>
      <c r="D251" s="0" t="s">
        <v>162</v>
      </c>
      <c r="E251" s="0" t="s">
        <v>46</v>
      </c>
      <c r="F251" s="0" t="s">
        <v>46</v>
      </c>
      <c r="G251" s="0" t="s">
        <v>3269</v>
      </c>
      <c r="H251" s="0" t="s">
        <v>3270</v>
      </c>
      <c r="I251" s="0" t="s">
        <v>46</v>
      </c>
      <c r="J251" s="0" t="s">
        <v>46</v>
      </c>
      <c r="K251" s="0" t="s">
        <v>46</v>
      </c>
      <c r="L251" s="0" t="s">
        <v>46</v>
      </c>
      <c r="M251" s="0" t="s">
        <v>46</v>
      </c>
      <c r="N251" s="0" t="s">
        <v>46</v>
      </c>
      <c r="O251" s="0" t="s">
        <v>46</v>
      </c>
    </row>
    <row r="252" customFormat="false" ht="15" hidden="false" customHeight="false" outlineLevel="0" collapsed="false">
      <c r="A252" s="0" t="s">
        <v>3271</v>
      </c>
      <c r="B252" s="0" t="s">
        <v>1101</v>
      </c>
      <c r="C252" s="0" t="s">
        <v>1102</v>
      </c>
      <c r="D252" s="0" t="s">
        <v>1103</v>
      </c>
      <c r="E252" s="0" t="s">
        <v>46</v>
      </c>
      <c r="F252" s="0" t="s">
        <v>46</v>
      </c>
      <c r="G252" s="0" t="s">
        <v>3272</v>
      </c>
      <c r="H252" s="0" t="s">
        <v>3273</v>
      </c>
      <c r="I252" s="0" t="s">
        <v>46</v>
      </c>
      <c r="J252" s="0" t="s">
        <v>46</v>
      </c>
      <c r="K252" s="0" t="s">
        <v>46</v>
      </c>
      <c r="L252" s="0" t="s">
        <v>46</v>
      </c>
      <c r="M252" s="0" t="s">
        <v>46</v>
      </c>
      <c r="N252" s="0" t="s">
        <v>46</v>
      </c>
      <c r="O252" s="0" t="s">
        <v>46</v>
      </c>
    </row>
    <row r="253" customFormat="false" ht="15" hidden="false" customHeight="false" outlineLevel="0" collapsed="false">
      <c r="A253" s="0" t="s">
        <v>3274</v>
      </c>
      <c r="B253" s="0" t="s">
        <v>2338</v>
      </c>
      <c r="C253" s="0" t="s">
        <v>2339</v>
      </c>
      <c r="D253" s="0" t="s">
        <v>2340</v>
      </c>
      <c r="E253" s="0" t="s">
        <v>46</v>
      </c>
      <c r="F253" s="0" t="s">
        <v>3275</v>
      </c>
      <c r="G253" s="0" t="s">
        <v>3276</v>
      </c>
      <c r="H253" s="0" t="s">
        <v>3277</v>
      </c>
      <c r="I253" s="0" t="s">
        <v>46</v>
      </c>
      <c r="J253" s="0" t="s">
        <v>46</v>
      </c>
      <c r="K253" s="0" t="s">
        <v>46</v>
      </c>
      <c r="L253" s="0" t="s">
        <v>46</v>
      </c>
      <c r="M253" s="0" t="s">
        <v>46</v>
      </c>
      <c r="N253" s="0" t="s">
        <v>46</v>
      </c>
      <c r="O253" s="0" t="s">
        <v>46</v>
      </c>
    </row>
    <row r="254" customFormat="false" ht="15" hidden="false" customHeight="false" outlineLevel="0" collapsed="false">
      <c r="A254" s="0" t="s">
        <v>3278</v>
      </c>
      <c r="B254" s="0" t="s">
        <v>334</v>
      </c>
      <c r="C254" s="0" t="s">
        <v>335</v>
      </c>
      <c r="D254" s="0" t="s">
        <v>336</v>
      </c>
      <c r="E254" s="0" t="s">
        <v>46</v>
      </c>
      <c r="F254" s="0" t="s">
        <v>3279</v>
      </c>
      <c r="G254" s="0" t="s">
        <v>3280</v>
      </c>
      <c r="H254" s="0" t="s">
        <v>3281</v>
      </c>
      <c r="I254" s="0" t="s">
        <v>46</v>
      </c>
      <c r="J254" s="0" t="s">
        <v>46</v>
      </c>
      <c r="K254" s="0" t="s">
        <v>46</v>
      </c>
      <c r="L254" s="0" t="s">
        <v>46</v>
      </c>
      <c r="M254" s="0" t="s">
        <v>46</v>
      </c>
      <c r="N254" s="0" t="s">
        <v>46</v>
      </c>
      <c r="O254" s="0" t="s">
        <v>46</v>
      </c>
    </row>
    <row r="255" customFormat="false" ht="15" hidden="false" customHeight="false" outlineLevel="0" collapsed="false">
      <c r="A255" s="0" t="s">
        <v>3282</v>
      </c>
      <c r="B255" s="0" t="s">
        <v>1583</v>
      </c>
      <c r="C255" s="0" t="s">
        <v>1584</v>
      </c>
      <c r="D255" s="0" t="s">
        <v>1585</v>
      </c>
      <c r="E255" s="0" t="s">
        <v>46</v>
      </c>
      <c r="F255" s="0" t="s">
        <v>3283</v>
      </c>
      <c r="G255" s="0" t="s">
        <v>46</v>
      </c>
      <c r="H255" s="0" t="s">
        <v>46</v>
      </c>
      <c r="I255" s="0" t="s">
        <v>46</v>
      </c>
      <c r="J255" s="0" t="s">
        <v>46</v>
      </c>
      <c r="K255" s="0" t="s">
        <v>46</v>
      </c>
      <c r="L255" s="0" t="s">
        <v>46</v>
      </c>
      <c r="M255" s="0" t="s">
        <v>46</v>
      </c>
      <c r="N255" s="0" t="s">
        <v>46</v>
      </c>
      <c r="O255" s="0" t="s">
        <v>46</v>
      </c>
    </row>
    <row r="256" customFormat="false" ht="15" hidden="false" customHeight="false" outlineLevel="0" collapsed="false">
      <c r="A256" s="0" t="s">
        <v>3284</v>
      </c>
      <c r="B256" s="0" t="s">
        <v>46</v>
      </c>
      <c r="C256" s="0" t="s">
        <v>1053</v>
      </c>
      <c r="D256" s="0" t="s">
        <v>46</v>
      </c>
      <c r="E256" s="0" t="s">
        <v>46</v>
      </c>
      <c r="F256" s="0" t="s">
        <v>46</v>
      </c>
      <c r="G256" s="0" t="s">
        <v>46</v>
      </c>
      <c r="H256" s="0" t="s">
        <v>46</v>
      </c>
      <c r="I256" s="0" t="s">
        <v>46</v>
      </c>
      <c r="J256" s="0" t="s">
        <v>46</v>
      </c>
      <c r="K256" s="0" t="s">
        <v>46</v>
      </c>
      <c r="L256" s="0" t="s">
        <v>46</v>
      </c>
      <c r="M256" s="0" t="s">
        <v>46</v>
      </c>
      <c r="N256" s="0" t="s">
        <v>46</v>
      </c>
      <c r="O256" s="0" t="s">
        <v>46</v>
      </c>
    </row>
    <row r="257" customFormat="false" ht="15" hidden="false" customHeight="false" outlineLevel="0" collapsed="false">
      <c r="A257" s="0" t="s">
        <v>3285</v>
      </c>
      <c r="B257" s="0" t="s">
        <v>291</v>
      </c>
      <c r="C257" s="0" t="s">
        <v>292</v>
      </c>
      <c r="D257" s="0" t="s">
        <v>293</v>
      </c>
      <c r="E257" s="0" t="s">
        <v>46</v>
      </c>
      <c r="F257" s="0" t="s">
        <v>46</v>
      </c>
      <c r="G257" s="0" t="s">
        <v>46</v>
      </c>
      <c r="H257" s="0" t="s">
        <v>46</v>
      </c>
      <c r="I257" s="0" t="s">
        <v>46</v>
      </c>
      <c r="J257" s="0" t="s">
        <v>46</v>
      </c>
      <c r="K257" s="0" t="s">
        <v>46</v>
      </c>
      <c r="L257" s="0" t="s">
        <v>46</v>
      </c>
      <c r="M257" s="0" t="s">
        <v>46</v>
      </c>
      <c r="N257" s="0" t="s">
        <v>46</v>
      </c>
      <c r="O257" s="0" t="s">
        <v>46</v>
      </c>
    </row>
    <row r="258" customFormat="false" ht="15" hidden="false" customHeight="false" outlineLevel="0" collapsed="false">
      <c r="A258" s="0" t="s">
        <v>3286</v>
      </c>
      <c r="B258" s="0" t="s">
        <v>1156</v>
      </c>
      <c r="C258" s="0" t="s">
        <v>1157</v>
      </c>
      <c r="D258" s="0" t="s">
        <v>1158</v>
      </c>
      <c r="E258" s="0" t="s">
        <v>46</v>
      </c>
      <c r="F258" s="0" t="s">
        <v>46</v>
      </c>
      <c r="G258" s="0" t="s">
        <v>3287</v>
      </c>
      <c r="H258" s="0" t="s">
        <v>3288</v>
      </c>
      <c r="I258" s="0" t="s">
        <v>46</v>
      </c>
      <c r="J258" s="0" t="s">
        <v>46</v>
      </c>
      <c r="K258" s="0" t="s">
        <v>46</v>
      </c>
      <c r="L258" s="0" t="s">
        <v>46</v>
      </c>
      <c r="M258" s="0" t="s">
        <v>46</v>
      </c>
      <c r="N258" s="0" t="s">
        <v>46</v>
      </c>
      <c r="O258" s="0" t="s">
        <v>46</v>
      </c>
    </row>
    <row r="259" customFormat="false" ht="15" hidden="false" customHeight="false" outlineLevel="0" collapsed="false">
      <c r="A259" s="0" t="s">
        <v>3289</v>
      </c>
      <c r="B259" s="0" t="s">
        <v>46</v>
      </c>
      <c r="C259" s="0" t="s">
        <v>3290</v>
      </c>
      <c r="D259" s="0" t="s">
        <v>46</v>
      </c>
      <c r="E259" s="0" t="s">
        <v>46</v>
      </c>
      <c r="F259" s="0" t="s">
        <v>46</v>
      </c>
      <c r="G259" s="0" t="s">
        <v>46</v>
      </c>
      <c r="H259" s="0" t="s">
        <v>46</v>
      </c>
      <c r="I259" s="0" t="s">
        <v>46</v>
      </c>
      <c r="J259" s="0" t="s">
        <v>46</v>
      </c>
      <c r="K259" s="0" t="s">
        <v>46</v>
      </c>
      <c r="L259" s="0" t="s">
        <v>46</v>
      </c>
      <c r="M259" s="0" t="s">
        <v>46</v>
      </c>
      <c r="N259" s="0" t="s">
        <v>46</v>
      </c>
      <c r="O259" s="0" t="s">
        <v>46</v>
      </c>
    </row>
    <row r="260" customFormat="false" ht="15" hidden="false" customHeight="false" outlineLevel="0" collapsed="false">
      <c r="A260" s="0" t="s">
        <v>3291</v>
      </c>
      <c r="B260" s="0" t="s">
        <v>1093</v>
      </c>
      <c r="C260" s="0" t="s">
        <v>1094</v>
      </c>
      <c r="D260" s="0" t="s">
        <v>1095</v>
      </c>
      <c r="E260" s="0" t="s">
        <v>46</v>
      </c>
      <c r="F260" s="0" t="s">
        <v>46</v>
      </c>
      <c r="G260" s="0" t="s">
        <v>3292</v>
      </c>
      <c r="H260" s="0" t="s">
        <v>3293</v>
      </c>
      <c r="I260" s="0" t="s">
        <v>46</v>
      </c>
      <c r="J260" s="0" t="s">
        <v>46</v>
      </c>
      <c r="K260" s="0" t="s">
        <v>46</v>
      </c>
      <c r="L260" s="0" t="s">
        <v>46</v>
      </c>
      <c r="M260" s="0" t="s">
        <v>46</v>
      </c>
      <c r="N260" s="0" t="s">
        <v>46</v>
      </c>
      <c r="O260" s="0" t="s">
        <v>46</v>
      </c>
    </row>
    <row r="261" customFormat="false" ht="15" hidden="false" customHeight="false" outlineLevel="0" collapsed="false">
      <c r="A261" s="0" t="s">
        <v>3294</v>
      </c>
      <c r="B261" s="0" t="s">
        <v>2178</v>
      </c>
      <c r="C261" s="0" t="s">
        <v>2179</v>
      </c>
      <c r="D261" s="0" t="s">
        <v>2180</v>
      </c>
      <c r="E261" s="0" t="s">
        <v>46</v>
      </c>
      <c r="F261" s="0" t="s">
        <v>3295</v>
      </c>
      <c r="G261" s="0" t="s">
        <v>46</v>
      </c>
      <c r="H261" s="0" t="s">
        <v>46</v>
      </c>
      <c r="I261" s="0" t="s">
        <v>46</v>
      </c>
      <c r="J261" s="0" t="s">
        <v>46</v>
      </c>
      <c r="K261" s="0" t="s">
        <v>46</v>
      </c>
      <c r="L261" s="0" t="s">
        <v>46</v>
      </c>
      <c r="M261" s="0" t="s">
        <v>46</v>
      </c>
      <c r="N261" s="0" t="s">
        <v>46</v>
      </c>
      <c r="O261" s="0" t="s">
        <v>46</v>
      </c>
    </row>
    <row r="262" customFormat="false" ht="15" hidden="false" customHeight="false" outlineLevel="0" collapsed="false">
      <c r="A262" s="0" t="s">
        <v>3296</v>
      </c>
      <c r="B262" s="0" t="s">
        <v>46</v>
      </c>
      <c r="C262" s="0" t="s">
        <v>3297</v>
      </c>
      <c r="D262" s="0" t="s">
        <v>46</v>
      </c>
      <c r="E262" s="0" t="s">
        <v>46</v>
      </c>
      <c r="F262" s="0" t="s">
        <v>46</v>
      </c>
      <c r="G262" s="0" t="s">
        <v>46</v>
      </c>
      <c r="H262" s="0" t="s">
        <v>46</v>
      </c>
      <c r="I262" s="0" t="s">
        <v>46</v>
      </c>
      <c r="J262" s="0" t="s">
        <v>46</v>
      </c>
      <c r="K262" s="0" t="s">
        <v>46</v>
      </c>
      <c r="L262" s="0" t="s">
        <v>46</v>
      </c>
      <c r="M262" s="0" t="s">
        <v>46</v>
      </c>
      <c r="N262" s="0" t="s">
        <v>46</v>
      </c>
      <c r="O262" s="0" t="s">
        <v>46</v>
      </c>
    </row>
    <row r="263" customFormat="false" ht="15" hidden="false" customHeight="false" outlineLevel="0" collapsed="false">
      <c r="A263" s="0" t="s">
        <v>3298</v>
      </c>
      <c r="B263" s="0" t="s">
        <v>46</v>
      </c>
      <c r="C263" s="0" t="s">
        <v>3299</v>
      </c>
      <c r="D263" s="0" t="s">
        <v>46</v>
      </c>
      <c r="E263" s="0" t="s">
        <v>46</v>
      </c>
      <c r="F263" s="0" t="s">
        <v>46</v>
      </c>
      <c r="G263" s="0" t="s">
        <v>46</v>
      </c>
      <c r="H263" s="0" t="s">
        <v>46</v>
      </c>
      <c r="I263" s="0" t="s">
        <v>46</v>
      </c>
      <c r="J263" s="0" t="s">
        <v>46</v>
      </c>
      <c r="K263" s="0" t="s">
        <v>46</v>
      </c>
      <c r="L263" s="0" t="s">
        <v>46</v>
      </c>
      <c r="M263" s="0" t="s">
        <v>46</v>
      </c>
      <c r="N263" s="0" t="s">
        <v>46</v>
      </c>
      <c r="O263" s="0" t="s">
        <v>46</v>
      </c>
    </row>
    <row r="264" customFormat="false" ht="15" hidden="false" customHeight="false" outlineLevel="0" collapsed="false">
      <c r="A264" s="0" t="s">
        <v>3300</v>
      </c>
      <c r="B264" s="0" t="s">
        <v>46</v>
      </c>
      <c r="C264" s="0" t="s">
        <v>3301</v>
      </c>
      <c r="D264" s="0" t="s">
        <v>46</v>
      </c>
      <c r="E264" s="0" t="s">
        <v>46</v>
      </c>
      <c r="F264" s="0" t="s">
        <v>46</v>
      </c>
      <c r="G264" s="0" t="s">
        <v>46</v>
      </c>
      <c r="H264" s="0" t="s">
        <v>46</v>
      </c>
      <c r="I264" s="0" t="s">
        <v>46</v>
      </c>
      <c r="J264" s="0" t="s">
        <v>46</v>
      </c>
      <c r="K264" s="0" t="s">
        <v>46</v>
      </c>
      <c r="L264" s="0" t="s">
        <v>46</v>
      </c>
      <c r="M264" s="0" t="s">
        <v>46</v>
      </c>
      <c r="N264" s="0" t="s">
        <v>46</v>
      </c>
      <c r="O264" s="0" t="s">
        <v>46</v>
      </c>
    </row>
    <row r="265" customFormat="false" ht="15" hidden="false" customHeight="false" outlineLevel="0" collapsed="false">
      <c r="A265" s="0" t="s">
        <v>3302</v>
      </c>
      <c r="B265" s="0" t="s">
        <v>789</v>
      </c>
      <c r="C265" s="0" t="s">
        <v>790</v>
      </c>
      <c r="D265" s="0" t="s">
        <v>791</v>
      </c>
      <c r="E265" s="0" t="s">
        <v>46</v>
      </c>
      <c r="F265" s="0" t="s">
        <v>46</v>
      </c>
      <c r="G265" s="0" t="s">
        <v>46</v>
      </c>
      <c r="H265" s="0" t="s">
        <v>46</v>
      </c>
      <c r="I265" s="0" t="s">
        <v>46</v>
      </c>
      <c r="J265" s="0" t="s">
        <v>46</v>
      </c>
      <c r="K265" s="0" t="s">
        <v>46</v>
      </c>
      <c r="L265" s="0" t="s">
        <v>46</v>
      </c>
      <c r="M265" s="0" t="s">
        <v>46</v>
      </c>
      <c r="N265" s="0" t="s">
        <v>46</v>
      </c>
      <c r="O265" s="0" t="s">
        <v>46</v>
      </c>
    </row>
    <row r="266" customFormat="false" ht="15" hidden="false" customHeight="false" outlineLevel="0" collapsed="false">
      <c r="A266" s="0" t="s">
        <v>3303</v>
      </c>
      <c r="B266" s="0" t="s">
        <v>300</v>
      </c>
      <c r="C266" s="0" t="s">
        <v>301</v>
      </c>
      <c r="D266" s="0" t="s">
        <v>302</v>
      </c>
      <c r="E266" s="0" t="s">
        <v>46</v>
      </c>
      <c r="F266" s="0" t="s">
        <v>46</v>
      </c>
      <c r="G266" s="0" t="s">
        <v>3304</v>
      </c>
      <c r="H266" s="0" t="s">
        <v>3203</v>
      </c>
      <c r="I266" s="0" t="s">
        <v>46</v>
      </c>
      <c r="J266" s="0" t="s">
        <v>46</v>
      </c>
      <c r="K266" s="0" t="s">
        <v>46</v>
      </c>
      <c r="L266" s="0" t="s">
        <v>46</v>
      </c>
      <c r="M266" s="0" t="s">
        <v>46</v>
      </c>
      <c r="N266" s="0" t="s">
        <v>46</v>
      </c>
      <c r="O266" s="0" t="s">
        <v>46</v>
      </c>
    </row>
    <row r="267" customFormat="false" ht="15" hidden="false" customHeight="false" outlineLevel="0" collapsed="false">
      <c r="A267" s="0" t="s">
        <v>3305</v>
      </c>
      <c r="B267" s="0" t="s">
        <v>68</v>
      </c>
      <c r="C267" s="0" t="s">
        <v>69</v>
      </c>
      <c r="D267" s="0" t="s">
        <v>70</v>
      </c>
      <c r="E267" s="0" t="s">
        <v>46</v>
      </c>
      <c r="F267" s="0" t="s">
        <v>3306</v>
      </c>
      <c r="G267" s="0" t="s">
        <v>46</v>
      </c>
      <c r="H267" s="0" t="s">
        <v>46</v>
      </c>
      <c r="I267" s="0" t="s">
        <v>46</v>
      </c>
      <c r="J267" s="0" t="s">
        <v>46</v>
      </c>
      <c r="K267" s="0" t="s">
        <v>46</v>
      </c>
      <c r="L267" s="0" t="s">
        <v>46</v>
      </c>
      <c r="M267" s="0" t="s">
        <v>46</v>
      </c>
      <c r="N267" s="0" t="s">
        <v>46</v>
      </c>
      <c r="O267" s="0" t="s">
        <v>46</v>
      </c>
    </row>
    <row r="268" customFormat="false" ht="15" hidden="false" customHeight="false" outlineLevel="0" collapsed="false">
      <c r="A268" s="0" t="s">
        <v>3307</v>
      </c>
      <c r="B268" s="0" t="s">
        <v>46</v>
      </c>
      <c r="C268" s="0" t="s">
        <v>1409</v>
      </c>
      <c r="D268" s="0" t="s">
        <v>1410</v>
      </c>
      <c r="E268" s="0" t="s">
        <v>46</v>
      </c>
      <c r="F268" s="0" t="s">
        <v>3308</v>
      </c>
      <c r="G268" s="0" t="s">
        <v>46</v>
      </c>
      <c r="H268" s="0" t="s">
        <v>46</v>
      </c>
      <c r="I268" s="0" t="s">
        <v>46</v>
      </c>
      <c r="J268" s="0" t="s">
        <v>46</v>
      </c>
      <c r="K268" s="0" t="s">
        <v>46</v>
      </c>
      <c r="L268" s="0" t="s">
        <v>46</v>
      </c>
      <c r="M268" s="0" t="s">
        <v>46</v>
      </c>
      <c r="N268" s="0" t="s">
        <v>46</v>
      </c>
      <c r="O268" s="0" t="s">
        <v>46</v>
      </c>
    </row>
    <row r="269" customFormat="false" ht="15" hidden="false" customHeight="false" outlineLevel="0" collapsed="false">
      <c r="A269" s="0" t="s">
        <v>3309</v>
      </c>
      <c r="B269" s="0" t="s">
        <v>803</v>
      </c>
      <c r="C269" s="0" t="s">
        <v>804</v>
      </c>
      <c r="D269" s="0" t="s">
        <v>805</v>
      </c>
      <c r="E269" s="0" t="s">
        <v>46</v>
      </c>
      <c r="F269" s="0" t="s">
        <v>3310</v>
      </c>
      <c r="G269" s="0" t="s">
        <v>3311</v>
      </c>
      <c r="H269" s="0" t="s">
        <v>2639</v>
      </c>
      <c r="I269" s="0" t="s">
        <v>46</v>
      </c>
      <c r="J269" s="0" t="s">
        <v>46</v>
      </c>
      <c r="K269" s="0" t="s">
        <v>46</v>
      </c>
      <c r="L269" s="0" t="s">
        <v>46</v>
      </c>
      <c r="M269" s="0" t="s">
        <v>46</v>
      </c>
      <c r="N269" s="0" t="s">
        <v>46</v>
      </c>
      <c r="O269" s="0" t="s">
        <v>46</v>
      </c>
    </row>
    <row r="270" customFormat="false" ht="15" hidden="false" customHeight="false" outlineLevel="0" collapsed="false">
      <c r="A270" s="0" t="s">
        <v>3312</v>
      </c>
      <c r="B270" s="0" t="s">
        <v>1262</v>
      </c>
      <c r="C270" s="0" t="s">
        <v>1263</v>
      </c>
      <c r="D270" s="0" t="s">
        <v>1264</v>
      </c>
      <c r="E270" s="0" t="s">
        <v>46</v>
      </c>
      <c r="F270" s="0" t="s">
        <v>46</v>
      </c>
      <c r="G270" s="0" t="s">
        <v>3313</v>
      </c>
      <c r="H270" s="0" t="s">
        <v>46</v>
      </c>
      <c r="I270" s="0" t="s">
        <v>46</v>
      </c>
      <c r="J270" s="0" t="s">
        <v>46</v>
      </c>
      <c r="K270" s="0" t="s">
        <v>46</v>
      </c>
      <c r="L270" s="0" t="s">
        <v>46</v>
      </c>
      <c r="M270" s="0" t="s">
        <v>46</v>
      </c>
      <c r="N270" s="0" t="s">
        <v>46</v>
      </c>
      <c r="O270" s="0" t="s">
        <v>46</v>
      </c>
    </row>
    <row r="271" customFormat="false" ht="15" hidden="false" customHeight="false" outlineLevel="0" collapsed="false">
      <c r="A271" s="0" t="s">
        <v>3314</v>
      </c>
      <c r="B271" s="0" t="s">
        <v>3315</v>
      </c>
      <c r="C271" s="0" t="s">
        <v>3316</v>
      </c>
      <c r="D271" s="0" t="s">
        <v>3317</v>
      </c>
      <c r="E271" s="0" t="s">
        <v>46</v>
      </c>
      <c r="F271" s="0" t="s">
        <v>3318</v>
      </c>
      <c r="G271" s="0" t="s">
        <v>46</v>
      </c>
      <c r="H271" s="0" t="s">
        <v>46</v>
      </c>
      <c r="I271" s="0" t="s">
        <v>46</v>
      </c>
      <c r="J271" s="0" t="s">
        <v>46</v>
      </c>
      <c r="K271" s="0" t="s">
        <v>46</v>
      </c>
      <c r="L271" s="0" t="s">
        <v>46</v>
      </c>
      <c r="M271" s="0" t="s">
        <v>46</v>
      </c>
      <c r="N271" s="0" t="s">
        <v>46</v>
      </c>
      <c r="O271" s="0" t="s">
        <v>46</v>
      </c>
    </row>
    <row r="272" customFormat="false" ht="15" hidden="false" customHeight="false" outlineLevel="0" collapsed="false">
      <c r="A272" s="0" t="s">
        <v>3319</v>
      </c>
      <c r="B272" s="0" t="s">
        <v>1108</v>
      </c>
      <c r="C272" s="0" t="s">
        <v>1109</v>
      </c>
      <c r="D272" s="0" t="s">
        <v>1110</v>
      </c>
      <c r="E272" s="0" t="s">
        <v>46</v>
      </c>
      <c r="F272" s="0" t="s">
        <v>46</v>
      </c>
      <c r="G272" s="0" t="s">
        <v>3320</v>
      </c>
      <c r="H272" s="0" t="s">
        <v>3321</v>
      </c>
      <c r="I272" s="0" t="s">
        <v>46</v>
      </c>
      <c r="J272" s="0" t="s">
        <v>46</v>
      </c>
      <c r="K272" s="0" t="s">
        <v>46</v>
      </c>
      <c r="L272" s="0" t="s">
        <v>46</v>
      </c>
      <c r="M272" s="0" t="s">
        <v>46</v>
      </c>
      <c r="N272" s="0" t="s">
        <v>46</v>
      </c>
      <c r="O272" s="0" t="s">
        <v>46</v>
      </c>
    </row>
    <row r="273" customFormat="false" ht="15" hidden="false" customHeight="false" outlineLevel="0" collapsed="false">
      <c r="A273" s="0" t="s">
        <v>3322</v>
      </c>
      <c r="B273" s="0" t="s">
        <v>2237</v>
      </c>
      <c r="C273" s="0" t="s">
        <v>2238</v>
      </c>
      <c r="D273" s="0" t="s">
        <v>2239</v>
      </c>
      <c r="E273" s="0" t="s">
        <v>46</v>
      </c>
      <c r="F273" s="0" t="s">
        <v>46</v>
      </c>
      <c r="G273" s="0" t="s">
        <v>3323</v>
      </c>
      <c r="H273" s="0" t="s">
        <v>2807</v>
      </c>
      <c r="I273" s="0" t="s">
        <v>46</v>
      </c>
      <c r="J273" s="0" t="s">
        <v>46</v>
      </c>
      <c r="K273" s="0" t="s">
        <v>46</v>
      </c>
      <c r="L273" s="0" t="s">
        <v>46</v>
      </c>
      <c r="M273" s="0" t="s">
        <v>46</v>
      </c>
      <c r="N273" s="0" t="s">
        <v>46</v>
      </c>
      <c r="O273" s="0" t="s">
        <v>46</v>
      </c>
    </row>
    <row r="274" customFormat="false" ht="15" hidden="false" customHeight="false" outlineLevel="0" collapsed="false">
      <c r="A274" s="0" t="s">
        <v>3324</v>
      </c>
      <c r="B274" s="0" t="s">
        <v>1946</v>
      </c>
      <c r="C274" s="0" t="s">
        <v>1947</v>
      </c>
      <c r="D274" s="0" t="s">
        <v>1948</v>
      </c>
      <c r="E274" s="0" t="s">
        <v>46</v>
      </c>
      <c r="F274" s="0" t="s">
        <v>46</v>
      </c>
      <c r="G274" s="0" t="s">
        <v>3325</v>
      </c>
      <c r="H274" s="0" t="s">
        <v>46</v>
      </c>
      <c r="I274" s="0" t="s">
        <v>46</v>
      </c>
      <c r="J274" s="0" t="s">
        <v>46</v>
      </c>
      <c r="K274" s="0" t="s">
        <v>46</v>
      </c>
      <c r="L274" s="0" t="s">
        <v>46</v>
      </c>
      <c r="M274" s="0" t="s">
        <v>46</v>
      </c>
      <c r="N274" s="0" t="s">
        <v>46</v>
      </c>
      <c r="O274" s="0" t="s">
        <v>46</v>
      </c>
    </row>
    <row r="275" customFormat="false" ht="15" hidden="false" customHeight="false" outlineLevel="0" collapsed="false">
      <c r="A275" s="0" t="s">
        <v>3326</v>
      </c>
      <c r="B275" s="0" t="s">
        <v>1617</v>
      </c>
      <c r="C275" s="0" t="s">
        <v>1618</v>
      </c>
      <c r="D275" s="0" t="s">
        <v>1619</v>
      </c>
      <c r="E275" s="0" t="s">
        <v>46</v>
      </c>
      <c r="F275" s="0" t="s">
        <v>3327</v>
      </c>
      <c r="G275" s="0" t="s">
        <v>3328</v>
      </c>
      <c r="H275" s="0" t="s">
        <v>3329</v>
      </c>
      <c r="I275" s="0" t="s">
        <v>46</v>
      </c>
      <c r="J275" s="0" t="s">
        <v>46</v>
      </c>
      <c r="K275" s="0" t="s">
        <v>46</v>
      </c>
      <c r="L275" s="0" t="s">
        <v>46</v>
      </c>
      <c r="M275" s="0" t="s">
        <v>46</v>
      </c>
      <c r="N275" s="0" t="s">
        <v>46</v>
      </c>
      <c r="O275" s="0" t="s">
        <v>46</v>
      </c>
    </row>
    <row r="276" customFormat="false" ht="15" hidden="false" customHeight="false" outlineLevel="0" collapsed="false">
      <c r="A276" s="0" t="s">
        <v>3330</v>
      </c>
      <c r="B276" s="0" t="s">
        <v>1146</v>
      </c>
      <c r="C276" s="0" t="s">
        <v>1147</v>
      </c>
      <c r="D276" s="0" t="s">
        <v>1148</v>
      </c>
      <c r="E276" s="0" t="s">
        <v>46</v>
      </c>
      <c r="F276" s="0" t="s">
        <v>3331</v>
      </c>
      <c r="G276" s="0" t="s">
        <v>3332</v>
      </c>
      <c r="H276" s="0" t="s">
        <v>2467</v>
      </c>
      <c r="I276" s="0" t="s">
        <v>46</v>
      </c>
      <c r="J276" s="0" t="s">
        <v>46</v>
      </c>
      <c r="K276" s="0" t="s">
        <v>46</v>
      </c>
      <c r="L276" s="0" t="s">
        <v>46</v>
      </c>
      <c r="M276" s="0" t="s">
        <v>46</v>
      </c>
      <c r="N276" s="0" t="s">
        <v>46</v>
      </c>
      <c r="O276" s="0" t="s">
        <v>46</v>
      </c>
    </row>
    <row r="277" customFormat="false" ht="15" hidden="false" customHeight="false" outlineLevel="0" collapsed="false">
      <c r="A277" s="0" t="s">
        <v>3333</v>
      </c>
      <c r="B277" s="0" t="s">
        <v>1303</v>
      </c>
      <c r="C277" s="0" t="s">
        <v>1304</v>
      </c>
      <c r="D277" s="0" t="s">
        <v>1305</v>
      </c>
      <c r="E277" s="0" t="s">
        <v>46</v>
      </c>
      <c r="F277" s="0" t="s">
        <v>3334</v>
      </c>
      <c r="G277" s="0" t="s">
        <v>3335</v>
      </c>
      <c r="H277" s="0" t="s">
        <v>3336</v>
      </c>
      <c r="I277" s="0" t="s">
        <v>46</v>
      </c>
      <c r="J277" s="0" t="s">
        <v>46</v>
      </c>
      <c r="K277" s="0" t="s">
        <v>46</v>
      </c>
      <c r="L277" s="0" t="s">
        <v>46</v>
      </c>
      <c r="M277" s="0" t="s">
        <v>46</v>
      </c>
      <c r="N277" s="0" t="s">
        <v>46</v>
      </c>
      <c r="O277" s="0" t="s">
        <v>46</v>
      </c>
    </row>
    <row r="278" customFormat="false" ht="15" hidden="false" customHeight="false" outlineLevel="0" collapsed="false">
      <c r="A278" s="0" t="s">
        <v>3337</v>
      </c>
      <c r="B278" s="0" t="s">
        <v>46</v>
      </c>
      <c r="C278" s="0" t="s">
        <v>2145</v>
      </c>
      <c r="D278" s="0" t="s">
        <v>46</v>
      </c>
      <c r="E278" s="0" t="s">
        <v>46</v>
      </c>
      <c r="F278" s="0" t="s">
        <v>46</v>
      </c>
      <c r="G278" s="0" t="s">
        <v>46</v>
      </c>
      <c r="H278" s="0" t="s">
        <v>46</v>
      </c>
      <c r="I278" s="0" t="s">
        <v>46</v>
      </c>
      <c r="J278" s="0" t="s">
        <v>46</v>
      </c>
      <c r="K278" s="0" t="s">
        <v>46</v>
      </c>
      <c r="L278" s="0" t="s">
        <v>46</v>
      </c>
      <c r="M278" s="0" t="s">
        <v>46</v>
      </c>
      <c r="N278" s="0" t="s">
        <v>46</v>
      </c>
      <c r="O278" s="0" t="s">
        <v>46</v>
      </c>
    </row>
    <row r="279" customFormat="false" ht="15" hidden="false" customHeight="false" outlineLevel="0" collapsed="false">
      <c r="A279" s="0" t="s">
        <v>3338</v>
      </c>
      <c r="B279" s="0" t="s">
        <v>515</v>
      </c>
      <c r="C279" s="0" t="s">
        <v>516</v>
      </c>
      <c r="D279" s="0" t="s">
        <v>46</v>
      </c>
      <c r="E279" s="0" t="s">
        <v>46</v>
      </c>
      <c r="F279" s="0" t="s">
        <v>46</v>
      </c>
      <c r="G279" s="0" t="s">
        <v>3339</v>
      </c>
      <c r="H279" s="0" t="s">
        <v>46</v>
      </c>
      <c r="I279" s="0" t="s">
        <v>46</v>
      </c>
      <c r="J279" s="0" t="s">
        <v>46</v>
      </c>
      <c r="K279" s="0" t="s">
        <v>46</v>
      </c>
      <c r="L279" s="0" t="s">
        <v>46</v>
      </c>
      <c r="M279" s="0" t="s">
        <v>46</v>
      </c>
      <c r="N279" s="0" t="s">
        <v>46</v>
      </c>
      <c r="O279" s="0" t="s">
        <v>46</v>
      </c>
    </row>
    <row r="280" customFormat="false" ht="15" hidden="false" customHeight="false" outlineLevel="0" collapsed="false">
      <c r="A280" s="0" t="s">
        <v>3340</v>
      </c>
      <c r="B280" s="0" t="s">
        <v>1463</v>
      </c>
      <c r="C280" s="0" t="s">
        <v>1464</v>
      </c>
      <c r="D280" s="0" t="s">
        <v>1465</v>
      </c>
      <c r="E280" s="0" t="s">
        <v>46</v>
      </c>
      <c r="F280" s="0" t="s">
        <v>3341</v>
      </c>
      <c r="G280" s="0" t="s">
        <v>3342</v>
      </c>
      <c r="H280" s="0" t="s">
        <v>3343</v>
      </c>
      <c r="I280" s="0" t="s">
        <v>46</v>
      </c>
      <c r="J280" s="0" t="s">
        <v>46</v>
      </c>
      <c r="K280" s="0" t="s">
        <v>46</v>
      </c>
      <c r="L280" s="0" t="s">
        <v>46</v>
      </c>
      <c r="M280" s="0" t="s">
        <v>46</v>
      </c>
      <c r="N280" s="0" t="s">
        <v>46</v>
      </c>
      <c r="O280" s="0" t="s">
        <v>46</v>
      </c>
    </row>
    <row r="281" customFormat="false" ht="15" hidden="false" customHeight="false" outlineLevel="0" collapsed="false">
      <c r="A281" s="0" t="s">
        <v>3344</v>
      </c>
      <c r="B281" s="0" t="s">
        <v>3345</v>
      </c>
      <c r="C281" s="0" t="s">
        <v>3346</v>
      </c>
      <c r="D281" s="0" t="s">
        <v>2359</v>
      </c>
      <c r="E281" s="0" t="s">
        <v>46</v>
      </c>
      <c r="F281" s="0" t="s">
        <v>46</v>
      </c>
      <c r="G281" s="0" t="s">
        <v>46</v>
      </c>
      <c r="H281" s="0" t="s">
        <v>46</v>
      </c>
      <c r="I281" s="0" t="s">
        <v>46</v>
      </c>
      <c r="J281" s="0" t="s">
        <v>46</v>
      </c>
      <c r="K281" s="0" t="s">
        <v>46</v>
      </c>
      <c r="L281" s="0" t="s">
        <v>46</v>
      </c>
      <c r="M281" s="0" t="s">
        <v>46</v>
      </c>
      <c r="N281" s="0" t="s">
        <v>46</v>
      </c>
      <c r="O281" s="0" t="s">
        <v>46</v>
      </c>
    </row>
    <row r="282" customFormat="false" ht="15" hidden="false" customHeight="false" outlineLevel="0" collapsed="false">
      <c r="A282" s="0" t="s">
        <v>3347</v>
      </c>
      <c r="B282" s="0" t="s">
        <v>2054</v>
      </c>
      <c r="C282" s="0" t="s">
        <v>2055</v>
      </c>
      <c r="D282" s="0" t="s">
        <v>2056</v>
      </c>
      <c r="E282" s="0" t="s">
        <v>46</v>
      </c>
      <c r="F282" s="0" t="s">
        <v>46</v>
      </c>
      <c r="G282" s="0" t="s">
        <v>3348</v>
      </c>
      <c r="H282" s="0" t="s">
        <v>3349</v>
      </c>
      <c r="I282" s="0" t="s">
        <v>46</v>
      </c>
      <c r="J282" s="0" t="s">
        <v>46</v>
      </c>
      <c r="K282" s="0" t="s">
        <v>46</v>
      </c>
      <c r="L282" s="0" t="s">
        <v>46</v>
      </c>
      <c r="M282" s="0" t="s">
        <v>46</v>
      </c>
      <c r="N282" s="0" t="s">
        <v>46</v>
      </c>
      <c r="O282" s="0" t="s">
        <v>46</v>
      </c>
    </row>
    <row r="283" customFormat="false" ht="15" hidden="false" customHeight="false" outlineLevel="0" collapsed="false">
      <c r="A283" s="0" t="s">
        <v>3350</v>
      </c>
      <c r="B283" s="0" t="s">
        <v>1257</v>
      </c>
      <c r="C283" s="0" t="s">
        <v>1258</v>
      </c>
      <c r="D283" s="0" t="s">
        <v>1259</v>
      </c>
      <c r="E283" s="0" t="s">
        <v>46</v>
      </c>
      <c r="F283" s="0" t="s">
        <v>46</v>
      </c>
      <c r="G283" s="0" t="s">
        <v>3351</v>
      </c>
      <c r="H283" s="0" t="s">
        <v>3352</v>
      </c>
      <c r="I283" s="0" t="s">
        <v>46</v>
      </c>
      <c r="J283" s="0" t="s">
        <v>46</v>
      </c>
      <c r="K283" s="0" t="s">
        <v>46</v>
      </c>
      <c r="L283" s="0" t="s">
        <v>46</v>
      </c>
      <c r="M283" s="0" t="s">
        <v>46</v>
      </c>
      <c r="N283" s="0" t="s">
        <v>46</v>
      </c>
      <c r="O283" s="0" t="s">
        <v>46</v>
      </c>
    </row>
    <row r="284" customFormat="false" ht="15" hidden="false" customHeight="false" outlineLevel="0" collapsed="false">
      <c r="A284" s="0" t="s">
        <v>3353</v>
      </c>
      <c r="B284" s="0" t="s">
        <v>716</v>
      </c>
      <c r="C284" s="0" t="s">
        <v>717</v>
      </c>
      <c r="D284" s="0" t="s">
        <v>718</v>
      </c>
      <c r="E284" s="0" t="s">
        <v>46</v>
      </c>
      <c r="F284" s="0" t="s">
        <v>46</v>
      </c>
      <c r="G284" s="0" t="s">
        <v>46</v>
      </c>
      <c r="H284" s="0" t="s">
        <v>46</v>
      </c>
      <c r="I284" s="0" t="s">
        <v>46</v>
      </c>
      <c r="J284" s="0" t="s">
        <v>46</v>
      </c>
      <c r="K284" s="0" t="s">
        <v>46</v>
      </c>
      <c r="L284" s="0" t="s">
        <v>46</v>
      </c>
      <c r="M284" s="0" t="s">
        <v>46</v>
      </c>
      <c r="N284" s="0" t="s">
        <v>46</v>
      </c>
      <c r="O284" s="0" t="s">
        <v>46</v>
      </c>
    </row>
    <row r="285" customFormat="false" ht="15" hidden="false" customHeight="false" outlineLevel="0" collapsed="false">
      <c r="A285" s="0" t="s">
        <v>3354</v>
      </c>
      <c r="B285" s="0" t="s">
        <v>831</v>
      </c>
      <c r="C285" s="0" t="s">
        <v>832</v>
      </c>
      <c r="D285" s="0" t="s">
        <v>718</v>
      </c>
      <c r="E285" s="0" t="s">
        <v>46</v>
      </c>
      <c r="F285" s="0" t="s">
        <v>46</v>
      </c>
      <c r="G285" s="0" t="s">
        <v>46</v>
      </c>
      <c r="H285" s="0" t="s">
        <v>46</v>
      </c>
      <c r="I285" s="0" t="s">
        <v>46</v>
      </c>
      <c r="J285" s="0" t="s">
        <v>46</v>
      </c>
      <c r="K285" s="0" t="s">
        <v>46</v>
      </c>
      <c r="L285" s="0" t="s">
        <v>46</v>
      </c>
      <c r="M285" s="0" t="s">
        <v>46</v>
      </c>
      <c r="N285" s="0" t="s">
        <v>46</v>
      </c>
      <c r="O285" s="0" t="s">
        <v>46</v>
      </c>
    </row>
    <row r="286" customFormat="false" ht="15" hidden="false" customHeight="false" outlineLevel="0" collapsed="false">
      <c r="A286" s="0" t="s">
        <v>3355</v>
      </c>
      <c r="B286" s="0" t="s">
        <v>1621</v>
      </c>
      <c r="C286" s="0" t="s">
        <v>1622</v>
      </c>
      <c r="D286" s="0" t="s">
        <v>1623</v>
      </c>
      <c r="E286" s="0" t="s">
        <v>46</v>
      </c>
      <c r="F286" s="0" t="s">
        <v>3356</v>
      </c>
      <c r="G286" s="0" t="s">
        <v>3357</v>
      </c>
      <c r="H286" s="0" t="s">
        <v>3358</v>
      </c>
      <c r="I286" s="0" t="s">
        <v>46</v>
      </c>
      <c r="J286" s="0" t="s">
        <v>46</v>
      </c>
      <c r="K286" s="0" t="s">
        <v>46</v>
      </c>
      <c r="L286" s="0" t="s">
        <v>46</v>
      </c>
      <c r="M286" s="0" t="s">
        <v>46</v>
      </c>
      <c r="N286" s="0" t="s">
        <v>46</v>
      </c>
      <c r="O286" s="0" t="s">
        <v>46</v>
      </c>
    </row>
    <row r="287" customFormat="false" ht="15" hidden="false" customHeight="false" outlineLevel="0" collapsed="false">
      <c r="A287" s="0" t="s">
        <v>3359</v>
      </c>
      <c r="B287" s="0" t="s">
        <v>905</v>
      </c>
      <c r="C287" s="0" t="s">
        <v>906</v>
      </c>
      <c r="D287" s="0" t="s">
        <v>46</v>
      </c>
      <c r="E287" s="0" t="s">
        <v>46</v>
      </c>
      <c r="F287" s="0" t="s">
        <v>46</v>
      </c>
      <c r="G287" s="0" t="s">
        <v>3360</v>
      </c>
      <c r="H287" s="0" t="s">
        <v>3361</v>
      </c>
      <c r="I287" s="0" t="s">
        <v>46</v>
      </c>
      <c r="J287" s="0" t="s">
        <v>46</v>
      </c>
      <c r="K287" s="0" t="s">
        <v>46</v>
      </c>
      <c r="L287" s="0" t="s">
        <v>46</v>
      </c>
      <c r="M287" s="0" t="s">
        <v>46</v>
      </c>
      <c r="N287" s="0" t="s">
        <v>46</v>
      </c>
      <c r="O287" s="0" t="s">
        <v>46</v>
      </c>
    </row>
    <row r="288" customFormat="false" ht="15" hidden="false" customHeight="false" outlineLevel="0" collapsed="false">
      <c r="A288" s="0" t="s">
        <v>3362</v>
      </c>
      <c r="B288" s="0" t="s">
        <v>2327</v>
      </c>
      <c r="C288" s="0" t="s">
        <v>2328</v>
      </c>
      <c r="D288" s="0" t="s">
        <v>2329</v>
      </c>
      <c r="E288" s="0" t="s">
        <v>46</v>
      </c>
      <c r="F288" s="0" t="s">
        <v>3195</v>
      </c>
      <c r="G288" s="0" t="s">
        <v>3363</v>
      </c>
      <c r="H288" s="0" t="s">
        <v>3364</v>
      </c>
      <c r="I288" s="0" t="s">
        <v>46</v>
      </c>
      <c r="J288" s="0" t="s">
        <v>46</v>
      </c>
      <c r="K288" s="0" t="s">
        <v>46</v>
      </c>
      <c r="L288" s="0" t="s">
        <v>46</v>
      </c>
      <c r="M288" s="0" t="s">
        <v>46</v>
      </c>
      <c r="N288" s="0" t="s">
        <v>46</v>
      </c>
      <c r="O288" s="0" t="s">
        <v>46</v>
      </c>
    </row>
    <row r="289" customFormat="false" ht="15" hidden="false" customHeight="false" outlineLevel="0" collapsed="false">
      <c r="A289" s="0" t="s">
        <v>3365</v>
      </c>
      <c r="B289" s="0" t="s">
        <v>2315</v>
      </c>
      <c r="C289" s="0" t="s">
        <v>2316</v>
      </c>
      <c r="D289" s="0" t="s">
        <v>2317</v>
      </c>
      <c r="E289" s="0" t="s">
        <v>46</v>
      </c>
      <c r="F289" s="0" t="s">
        <v>3366</v>
      </c>
      <c r="G289" s="0" t="s">
        <v>3367</v>
      </c>
      <c r="H289" s="0" t="s">
        <v>3368</v>
      </c>
      <c r="I289" s="0" t="s">
        <v>46</v>
      </c>
      <c r="J289" s="0" t="s">
        <v>46</v>
      </c>
      <c r="K289" s="0" t="s">
        <v>46</v>
      </c>
      <c r="L289" s="0" t="s">
        <v>46</v>
      </c>
      <c r="M289" s="0" t="s">
        <v>46</v>
      </c>
      <c r="N289" s="0" t="s">
        <v>46</v>
      </c>
      <c r="O289" s="0" t="s">
        <v>46</v>
      </c>
    </row>
    <row r="290" customFormat="false" ht="15" hidden="false" customHeight="false" outlineLevel="0" collapsed="false">
      <c r="A290" s="0" t="s">
        <v>3369</v>
      </c>
      <c r="B290" s="0" t="s">
        <v>46</v>
      </c>
      <c r="C290" s="0" t="s">
        <v>3370</v>
      </c>
      <c r="D290" s="0" t="s">
        <v>46</v>
      </c>
      <c r="E290" s="0" t="s">
        <v>46</v>
      </c>
      <c r="F290" s="0" t="s">
        <v>46</v>
      </c>
      <c r="G290" s="0" t="s">
        <v>46</v>
      </c>
      <c r="H290" s="0" t="s">
        <v>46</v>
      </c>
      <c r="I290" s="0" t="s">
        <v>46</v>
      </c>
      <c r="J290" s="0" t="s">
        <v>46</v>
      </c>
      <c r="K290" s="0" t="s">
        <v>46</v>
      </c>
      <c r="L290" s="0" t="s">
        <v>46</v>
      </c>
      <c r="M290" s="0" t="s">
        <v>46</v>
      </c>
      <c r="N290" s="0" t="s">
        <v>46</v>
      </c>
      <c r="O290" s="0" t="s">
        <v>46</v>
      </c>
    </row>
    <row r="291" customFormat="false" ht="15" hidden="false" customHeight="false" outlineLevel="0" collapsed="false">
      <c r="A291" s="0" t="s">
        <v>3371</v>
      </c>
      <c r="B291" s="0" t="s">
        <v>362</v>
      </c>
      <c r="C291" s="0" t="s">
        <v>363</v>
      </c>
      <c r="D291" s="0" t="s">
        <v>364</v>
      </c>
      <c r="E291" s="0" t="s">
        <v>46</v>
      </c>
      <c r="F291" s="0" t="s">
        <v>3372</v>
      </c>
      <c r="G291" s="0" t="s">
        <v>3373</v>
      </c>
      <c r="H291" s="0" t="s">
        <v>2616</v>
      </c>
      <c r="I291" s="0" t="s">
        <v>46</v>
      </c>
      <c r="J291" s="0" t="s">
        <v>46</v>
      </c>
      <c r="K291" s="0" t="s">
        <v>46</v>
      </c>
      <c r="L291" s="0" t="s">
        <v>46</v>
      </c>
      <c r="M291" s="0" t="s">
        <v>46</v>
      </c>
      <c r="N291" s="0" t="s">
        <v>46</v>
      </c>
      <c r="O291" s="0" t="s">
        <v>46</v>
      </c>
    </row>
    <row r="292" customFormat="false" ht="15" hidden="false" customHeight="false" outlineLevel="0" collapsed="false">
      <c r="A292" s="0" t="s">
        <v>3374</v>
      </c>
      <c r="B292" s="0" t="s">
        <v>555</v>
      </c>
      <c r="C292" s="0" t="s">
        <v>556</v>
      </c>
      <c r="D292" s="0" t="s">
        <v>557</v>
      </c>
      <c r="E292" s="0" t="s">
        <v>46</v>
      </c>
      <c r="F292" s="0" t="s">
        <v>3375</v>
      </c>
      <c r="G292" s="0" t="s">
        <v>3376</v>
      </c>
      <c r="H292" s="0" t="s">
        <v>3377</v>
      </c>
      <c r="I292" s="0" t="s">
        <v>46</v>
      </c>
      <c r="J292" s="0" t="s">
        <v>46</v>
      </c>
      <c r="K292" s="0" t="s">
        <v>46</v>
      </c>
      <c r="L292" s="0" t="s">
        <v>46</v>
      </c>
      <c r="M292" s="0" t="s">
        <v>46</v>
      </c>
      <c r="N292" s="0" t="s">
        <v>46</v>
      </c>
      <c r="O292" s="0" t="s">
        <v>46</v>
      </c>
    </row>
    <row r="293" customFormat="false" ht="15" hidden="false" customHeight="false" outlineLevel="0" collapsed="false">
      <c r="A293" s="0" t="s">
        <v>3378</v>
      </c>
      <c r="B293" s="0" t="s">
        <v>2387</v>
      </c>
      <c r="C293" s="0" t="s">
        <v>2388</v>
      </c>
      <c r="D293" s="0" t="s">
        <v>2389</v>
      </c>
      <c r="E293" s="0" t="s">
        <v>46</v>
      </c>
      <c r="F293" s="0" t="s">
        <v>46</v>
      </c>
      <c r="G293" s="0" t="s">
        <v>3379</v>
      </c>
      <c r="H293" s="0" t="s">
        <v>3380</v>
      </c>
      <c r="I293" s="0" t="s">
        <v>46</v>
      </c>
      <c r="J293" s="0" t="s">
        <v>46</v>
      </c>
      <c r="K293" s="0" t="s">
        <v>46</v>
      </c>
      <c r="L293" s="0" t="s">
        <v>46</v>
      </c>
      <c r="M293" s="0" t="s">
        <v>46</v>
      </c>
      <c r="N293" s="0" t="s">
        <v>46</v>
      </c>
      <c r="O293" s="0" t="s">
        <v>46</v>
      </c>
    </row>
    <row r="294" customFormat="false" ht="15" hidden="false" customHeight="false" outlineLevel="0" collapsed="false">
      <c r="A294" s="0" t="s">
        <v>3381</v>
      </c>
      <c r="B294" s="0" t="s">
        <v>2404</v>
      </c>
      <c r="C294" s="0" t="s">
        <v>2405</v>
      </c>
      <c r="D294" s="0" t="s">
        <v>2406</v>
      </c>
      <c r="E294" s="0" t="s">
        <v>46</v>
      </c>
      <c r="F294" s="0" t="s">
        <v>3382</v>
      </c>
      <c r="G294" s="0" t="s">
        <v>3383</v>
      </c>
      <c r="H294" s="0" t="s">
        <v>3384</v>
      </c>
      <c r="I294" s="0" t="s">
        <v>46</v>
      </c>
      <c r="J294" s="0" t="s">
        <v>46</v>
      </c>
      <c r="K294" s="0" t="s">
        <v>46</v>
      </c>
      <c r="L294" s="0" t="s">
        <v>46</v>
      </c>
      <c r="M294" s="0" t="s">
        <v>46</v>
      </c>
      <c r="N294" s="0" t="s">
        <v>46</v>
      </c>
      <c r="O294" s="0" t="s">
        <v>46</v>
      </c>
    </row>
    <row r="295" customFormat="false" ht="15" hidden="false" customHeight="false" outlineLevel="0" collapsed="false">
      <c r="A295" s="0" t="s">
        <v>3385</v>
      </c>
      <c r="B295" s="0" t="s">
        <v>1958</v>
      </c>
      <c r="C295" s="0" t="s">
        <v>1959</v>
      </c>
      <c r="D295" s="0" t="s">
        <v>1960</v>
      </c>
      <c r="E295" s="0" t="s">
        <v>46</v>
      </c>
      <c r="F295" s="0" t="s">
        <v>3386</v>
      </c>
      <c r="G295" s="0" t="s">
        <v>3387</v>
      </c>
      <c r="H295" s="0" t="s">
        <v>3388</v>
      </c>
      <c r="I295" s="0" t="s">
        <v>46</v>
      </c>
      <c r="J295" s="0" t="s">
        <v>46</v>
      </c>
      <c r="K295" s="0" t="s">
        <v>46</v>
      </c>
      <c r="L295" s="0" t="s">
        <v>46</v>
      </c>
      <c r="M295" s="0" t="s">
        <v>46</v>
      </c>
      <c r="N295" s="0" t="s">
        <v>46</v>
      </c>
      <c r="O295" s="0" t="s">
        <v>46</v>
      </c>
    </row>
    <row r="296" customFormat="false" ht="15" hidden="false" customHeight="false" outlineLevel="0" collapsed="false">
      <c r="A296" s="0" t="s">
        <v>3389</v>
      </c>
      <c r="B296" s="0" t="s">
        <v>884</v>
      </c>
      <c r="C296" s="0" t="s">
        <v>885</v>
      </c>
      <c r="D296" s="0" t="s">
        <v>886</v>
      </c>
      <c r="E296" s="0" t="s">
        <v>46</v>
      </c>
      <c r="F296" s="0" t="s">
        <v>46</v>
      </c>
      <c r="G296" s="0" t="s">
        <v>3390</v>
      </c>
      <c r="H296" s="0" t="s">
        <v>3391</v>
      </c>
      <c r="I296" s="0" t="s">
        <v>46</v>
      </c>
      <c r="J296" s="0" t="s">
        <v>46</v>
      </c>
      <c r="K296" s="0" t="s">
        <v>46</v>
      </c>
      <c r="L296" s="0" t="s">
        <v>46</v>
      </c>
      <c r="M296" s="0" t="s">
        <v>46</v>
      </c>
      <c r="N296" s="0" t="s">
        <v>46</v>
      </c>
      <c r="O296" s="0" t="s">
        <v>46</v>
      </c>
    </row>
    <row r="297" customFormat="false" ht="15" hidden="false" customHeight="false" outlineLevel="0" collapsed="false">
      <c r="A297" s="0" t="s">
        <v>3392</v>
      </c>
      <c r="B297" s="0" t="s">
        <v>3393</v>
      </c>
      <c r="C297" s="0" t="s">
        <v>3394</v>
      </c>
      <c r="D297" s="0" t="s">
        <v>2249</v>
      </c>
      <c r="E297" s="0" t="s">
        <v>46</v>
      </c>
      <c r="F297" s="0" t="s">
        <v>3395</v>
      </c>
      <c r="G297" s="0" t="s">
        <v>3396</v>
      </c>
      <c r="H297" s="0" t="s">
        <v>3397</v>
      </c>
      <c r="I297" s="0" t="s">
        <v>46</v>
      </c>
      <c r="J297" s="0" t="s">
        <v>46</v>
      </c>
      <c r="K297" s="0" t="s">
        <v>46</v>
      </c>
      <c r="L297" s="0" t="s">
        <v>46</v>
      </c>
      <c r="M297" s="0" t="s">
        <v>46</v>
      </c>
      <c r="N297" s="0" t="s">
        <v>46</v>
      </c>
      <c r="O297" s="0" t="s">
        <v>46</v>
      </c>
    </row>
    <row r="298" customFormat="false" ht="15" hidden="false" customHeight="false" outlineLevel="0" collapsed="false">
      <c r="A298" s="0" t="s">
        <v>3398</v>
      </c>
      <c r="B298" s="0" t="s">
        <v>1440</v>
      </c>
      <c r="C298" s="0" t="s">
        <v>1441</v>
      </c>
      <c r="D298" s="0" t="s">
        <v>1442</v>
      </c>
      <c r="E298" s="0" t="s">
        <v>46</v>
      </c>
      <c r="F298" s="0" t="s">
        <v>46</v>
      </c>
      <c r="G298" s="0" t="s">
        <v>3399</v>
      </c>
      <c r="H298" s="0" t="s">
        <v>3400</v>
      </c>
      <c r="I298" s="0" t="s">
        <v>46</v>
      </c>
      <c r="J298" s="0" t="s">
        <v>46</v>
      </c>
      <c r="K298" s="0" t="s">
        <v>46</v>
      </c>
      <c r="L298" s="0" t="s">
        <v>46</v>
      </c>
      <c r="M298" s="0" t="s">
        <v>46</v>
      </c>
      <c r="N298" s="0" t="s">
        <v>46</v>
      </c>
      <c r="O298" s="0" t="s">
        <v>46</v>
      </c>
    </row>
    <row r="299" customFormat="false" ht="15" hidden="false" customHeight="false" outlineLevel="0" collapsed="false">
      <c r="A299" s="0" t="s">
        <v>3401</v>
      </c>
      <c r="B299" s="0" t="s">
        <v>1821</v>
      </c>
      <c r="C299" s="0" t="s">
        <v>1822</v>
      </c>
      <c r="D299" s="0" t="s">
        <v>46</v>
      </c>
      <c r="E299" s="0" t="s">
        <v>46</v>
      </c>
      <c r="F299" s="0" t="s">
        <v>46</v>
      </c>
      <c r="G299" s="0" t="s">
        <v>3402</v>
      </c>
      <c r="H299" s="0" t="s">
        <v>46</v>
      </c>
      <c r="I299" s="0" t="s">
        <v>46</v>
      </c>
      <c r="J299" s="0" t="s">
        <v>46</v>
      </c>
      <c r="K299" s="0" t="s">
        <v>46</v>
      </c>
      <c r="L299" s="0" t="s">
        <v>46</v>
      </c>
      <c r="M299" s="0" t="s">
        <v>46</v>
      </c>
      <c r="N299" s="0" t="s">
        <v>46</v>
      </c>
      <c r="O299" s="0" t="s">
        <v>46</v>
      </c>
    </row>
    <row r="300" customFormat="false" ht="15" hidden="false" customHeight="false" outlineLevel="0" collapsed="false">
      <c r="A300" s="0" t="s">
        <v>3403</v>
      </c>
      <c r="B300" s="0" t="s">
        <v>2282</v>
      </c>
      <c r="C300" s="0" t="s">
        <v>2283</v>
      </c>
      <c r="D300" s="0" t="s">
        <v>2284</v>
      </c>
      <c r="E300" s="0" t="s">
        <v>46</v>
      </c>
      <c r="F300" s="0" t="s">
        <v>3404</v>
      </c>
      <c r="G300" s="0" t="s">
        <v>3405</v>
      </c>
      <c r="H300" s="0" t="s">
        <v>3406</v>
      </c>
      <c r="I300" s="0" t="s">
        <v>46</v>
      </c>
      <c r="J300" s="0" t="s">
        <v>46</v>
      </c>
      <c r="K300" s="0" t="s">
        <v>46</v>
      </c>
      <c r="L300" s="0" t="s">
        <v>46</v>
      </c>
      <c r="M300" s="0" t="s">
        <v>46</v>
      </c>
      <c r="N300" s="0" t="s">
        <v>46</v>
      </c>
      <c r="O300" s="0" t="s">
        <v>46</v>
      </c>
    </row>
    <row r="301" customFormat="false" ht="15" hidden="false" customHeight="false" outlineLevel="0" collapsed="false">
      <c r="A301" s="0" t="s">
        <v>3407</v>
      </c>
      <c r="B301" s="0" t="s">
        <v>79</v>
      </c>
      <c r="C301" s="0" t="s">
        <v>80</v>
      </c>
      <c r="D301" s="0" t="s">
        <v>81</v>
      </c>
      <c r="E301" s="0" t="s">
        <v>46</v>
      </c>
      <c r="F301" s="0" t="s">
        <v>3408</v>
      </c>
      <c r="G301" s="0" t="s">
        <v>3409</v>
      </c>
      <c r="H301" s="0" t="s">
        <v>3203</v>
      </c>
      <c r="I301" s="0" t="s">
        <v>46</v>
      </c>
      <c r="J301" s="0" t="s">
        <v>46</v>
      </c>
      <c r="K301" s="0" t="s">
        <v>46</v>
      </c>
      <c r="L301" s="0" t="s">
        <v>46</v>
      </c>
      <c r="M301" s="0" t="s">
        <v>46</v>
      </c>
      <c r="N301" s="0" t="s">
        <v>46</v>
      </c>
      <c r="O301" s="0" t="s">
        <v>46</v>
      </c>
    </row>
    <row r="302" customFormat="false" ht="15" hidden="false" customHeight="false" outlineLevel="0" collapsed="false">
      <c r="A302" s="0" t="s">
        <v>3410</v>
      </c>
      <c r="B302" s="0" t="s">
        <v>1682</v>
      </c>
      <c r="C302" s="0" t="s">
        <v>1683</v>
      </c>
      <c r="D302" s="0" t="s">
        <v>1684</v>
      </c>
      <c r="E302" s="0" t="s">
        <v>46</v>
      </c>
      <c r="F302" s="0" t="s">
        <v>3411</v>
      </c>
      <c r="G302" s="0" t="s">
        <v>3412</v>
      </c>
      <c r="H302" s="0" t="s">
        <v>3413</v>
      </c>
      <c r="I302" s="0" t="s">
        <v>46</v>
      </c>
      <c r="J302" s="0" t="s">
        <v>46</v>
      </c>
      <c r="K302" s="0" t="s">
        <v>46</v>
      </c>
      <c r="L302" s="0" t="s">
        <v>46</v>
      </c>
      <c r="M302" s="0" t="s">
        <v>46</v>
      </c>
      <c r="N302" s="0" t="s">
        <v>46</v>
      </c>
      <c r="O302" s="0" t="s">
        <v>46</v>
      </c>
    </row>
    <row r="303" customFormat="false" ht="15" hidden="false" customHeight="false" outlineLevel="0" collapsed="false">
      <c r="A303" s="0" t="s">
        <v>3414</v>
      </c>
      <c r="B303" s="0" t="s">
        <v>1121</v>
      </c>
      <c r="C303" s="0" t="s">
        <v>1122</v>
      </c>
      <c r="D303" s="0" t="s">
        <v>1123</v>
      </c>
      <c r="E303" s="0" t="s">
        <v>46</v>
      </c>
      <c r="F303" s="0" t="s">
        <v>46</v>
      </c>
      <c r="G303" s="0" t="s">
        <v>3415</v>
      </c>
      <c r="H303" s="0" t="s">
        <v>3416</v>
      </c>
      <c r="I303" s="0" t="s">
        <v>46</v>
      </c>
      <c r="J303" s="0" t="s">
        <v>46</v>
      </c>
      <c r="K303" s="0" t="s">
        <v>46</v>
      </c>
      <c r="L303" s="0" t="s">
        <v>46</v>
      </c>
      <c r="M303" s="0" t="s">
        <v>46</v>
      </c>
      <c r="N303" s="0" t="s">
        <v>46</v>
      </c>
      <c r="O303" s="0" t="s">
        <v>46</v>
      </c>
    </row>
    <row r="304" customFormat="false" ht="15" hidden="false" customHeight="false" outlineLevel="0" collapsed="false">
      <c r="A304" s="0" t="s">
        <v>3417</v>
      </c>
      <c r="B304" s="0" t="s">
        <v>1403</v>
      </c>
      <c r="C304" s="0" t="s">
        <v>1404</v>
      </c>
      <c r="D304" s="0" t="s">
        <v>1405</v>
      </c>
      <c r="E304" s="0" t="s">
        <v>46</v>
      </c>
      <c r="F304" s="0" t="s">
        <v>3418</v>
      </c>
      <c r="G304" s="0" t="s">
        <v>3419</v>
      </c>
      <c r="H304" s="0" t="s">
        <v>3420</v>
      </c>
      <c r="I304" s="0" t="s">
        <v>46</v>
      </c>
      <c r="J304" s="0" t="s">
        <v>46</v>
      </c>
      <c r="K304" s="0" t="s">
        <v>46</v>
      </c>
      <c r="L304" s="0" t="s">
        <v>46</v>
      </c>
      <c r="M304" s="0" t="s">
        <v>46</v>
      </c>
      <c r="N304" s="0" t="s">
        <v>46</v>
      </c>
      <c r="O304" s="0" t="s">
        <v>46</v>
      </c>
    </row>
    <row r="305" customFormat="false" ht="15" hidden="false" customHeight="false" outlineLevel="0" collapsed="false">
      <c r="A305" s="0" t="s">
        <v>3421</v>
      </c>
      <c r="B305" s="0" t="s">
        <v>1197</v>
      </c>
      <c r="C305" s="0" t="s">
        <v>1198</v>
      </c>
      <c r="D305" s="0" t="s">
        <v>1199</v>
      </c>
      <c r="E305" s="0" t="s">
        <v>46</v>
      </c>
      <c r="F305" s="0" t="s">
        <v>3422</v>
      </c>
      <c r="G305" s="0" t="s">
        <v>3423</v>
      </c>
      <c r="H305" s="0" t="s">
        <v>3424</v>
      </c>
      <c r="I305" s="0" t="s">
        <v>46</v>
      </c>
      <c r="J305" s="0" t="s">
        <v>46</v>
      </c>
      <c r="K305" s="0" t="s">
        <v>46</v>
      </c>
      <c r="L305" s="0" t="s">
        <v>46</v>
      </c>
      <c r="M305" s="0" t="s">
        <v>46</v>
      </c>
      <c r="N305" s="0" t="s">
        <v>46</v>
      </c>
      <c r="O305" s="0" t="s">
        <v>46</v>
      </c>
    </row>
    <row r="306" customFormat="false" ht="15" hidden="false" customHeight="false" outlineLevel="0" collapsed="false">
      <c r="A306" s="0" t="s">
        <v>3425</v>
      </c>
      <c r="B306" s="0" t="s">
        <v>1671</v>
      </c>
      <c r="C306" s="0" t="s">
        <v>1672</v>
      </c>
      <c r="D306" s="0" t="s">
        <v>1673</v>
      </c>
      <c r="E306" s="0" t="s">
        <v>46</v>
      </c>
      <c r="F306" s="0" t="s">
        <v>3426</v>
      </c>
      <c r="G306" s="0" t="s">
        <v>3427</v>
      </c>
      <c r="H306" s="0" t="s">
        <v>46</v>
      </c>
      <c r="I306" s="0" t="s">
        <v>46</v>
      </c>
      <c r="J306" s="0" t="s">
        <v>46</v>
      </c>
      <c r="K306" s="0" t="s">
        <v>46</v>
      </c>
      <c r="L306" s="0" t="s">
        <v>46</v>
      </c>
      <c r="M306" s="0" t="s">
        <v>46</v>
      </c>
      <c r="N306" s="0" t="s">
        <v>46</v>
      </c>
      <c r="O306" s="0" t="s">
        <v>46</v>
      </c>
    </row>
    <row r="307" customFormat="false" ht="15" hidden="false" customHeight="false" outlineLevel="0" collapsed="false">
      <c r="A307" s="0" t="s">
        <v>3428</v>
      </c>
      <c r="B307" s="0" t="s">
        <v>1836</v>
      </c>
      <c r="C307" s="0" t="s">
        <v>1837</v>
      </c>
      <c r="D307" s="0" t="s">
        <v>1838</v>
      </c>
      <c r="E307" s="0" t="s">
        <v>46</v>
      </c>
      <c r="F307" s="0" t="s">
        <v>3429</v>
      </c>
      <c r="G307" s="0" t="s">
        <v>3430</v>
      </c>
      <c r="H307" s="0" t="s">
        <v>3431</v>
      </c>
      <c r="I307" s="0" t="s">
        <v>46</v>
      </c>
      <c r="J307" s="0" t="s">
        <v>46</v>
      </c>
      <c r="K307" s="0" t="s">
        <v>46</v>
      </c>
      <c r="L307" s="0" t="s">
        <v>46</v>
      </c>
      <c r="M307" s="0" t="s">
        <v>46</v>
      </c>
      <c r="N307" s="0" t="s">
        <v>46</v>
      </c>
      <c r="O307" s="0" t="s">
        <v>46</v>
      </c>
    </row>
    <row r="308" customFormat="false" ht="15" hidden="false" customHeight="false" outlineLevel="0" collapsed="false">
      <c r="A308" s="0" t="s">
        <v>3432</v>
      </c>
      <c r="B308" s="0" t="s">
        <v>2298</v>
      </c>
      <c r="C308" s="0" t="s">
        <v>2299</v>
      </c>
      <c r="D308" s="0" t="s">
        <v>2300</v>
      </c>
      <c r="E308" s="0" t="s">
        <v>46</v>
      </c>
      <c r="F308" s="0" t="s">
        <v>46</v>
      </c>
      <c r="G308" s="0" t="s">
        <v>3433</v>
      </c>
      <c r="H308" s="0" t="s">
        <v>3434</v>
      </c>
      <c r="I308" s="0" t="s">
        <v>46</v>
      </c>
      <c r="J308" s="0" t="s">
        <v>46</v>
      </c>
      <c r="K308" s="0" t="s">
        <v>46</v>
      </c>
      <c r="L308" s="0" t="s">
        <v>46</v>
      </c>
      <c r="M308" s="0" t="s">
        <v>46</v>
      </c>
      <c r="N308" s="0" t="s">
        <v>46</v>
      </c>
      <c r="O308" s="0" t="s">
        <v>46</v>
      </c>
    </row>
    <row r="309" customFormat="false" ht="15" hidden="false" customHeight="false" outlineLevel="0" collapsed="false">
      <c r="A309" s="0" t="s">
        <v>3435</v>
      </c>
      <c r="B309" s="0" t="s">
        <v>46</v>
      </c>
      <c r="C309" s="0" t="s">
        <v>663</v>
      </c>
      <c r="D309" s="0" t="s">
        <v>46</v>
      </c>
      <c r="E309" s="0" t="s">
        <v>46</v>
      </c>
      <c r="F309" s="0" t="s">
        <v>46</v>
      </c>
      <c r="G309" s="0" t="s">
        <v>3436</v>
      </c>
      <c r="H309" s="0" t="s">
        <v>3437</v>
      </c>
      <c r="I309" s="0" t="s">
        <v>46</v>
      </c>
      <c r="J309" s="0" t="s">
        <v>46</v>
      </c>
      <c r="K309" s="0" t="s">
        <v>46</v>
      </c>
      <c r="L309" s="0" t="s">
        <v>46</v>
      </c>
      <c r="M309" s="0" t="s">
        <v>46</v>
      </c>
      <c r="N309" s="0" t="s">
        <v>46</v>
      </c>
      <c r="O309" s="0" t="s">
        <v>46</v>
      </c>
    </row>
    <row r="310" customFormat="false" ht="15" hidden="false" customHeight="false" outlineLevel="0" collapsed="false">
      <c r="A310" s="0" t="s">
        <v>3438</v>
      </c>
      <c r="B310" s="0" t="s">
        <v>1177</v>
      </c>
      <c r="C310" s="0" t="s">
        <v>1178</v>
      </c>
      <c r="D310" s="0" t="s">
        <v>1179</v>
      </c>
      <c r="E310" s="0" t="s">
        <v>46</v>
      </c>
      <c r="F310" s="0" t="s">
        <v>3439</v>
      </c>
      <c r="G310" s="0" t="s">
        <v>3440</v>
      </c>
      <c r="H310" s="0" t="s">
        <v>3441</v>
      </c>
      <c r="I310" s="0" t="s">
        <v>46</v>
      </c>
      <c r="J310" s="0" t="s">
        <v>46</v>
      </c>
      <c r="K310" s="0" t="s">
        <v>46</v>
      </c>
      <c r="L310" s="0" t="s">
        <v>46</v>
      </c>
      <c r="M310" s="0" t="s">
        <v>46</v>
      </c>
      <c r="N310" s="0" t="s">
        <v>46</v>
      </c>
      <c r="O310" s="0" t="s">
        <v>46</v>
      </c>
    </row>
    <row r="311" customFormat="false" ht="15" hidden="false" customHeight="false" outlineLevel="0" collapsed="false">
      <c r="A311" s="0" t="s">
        <v>3442</v>
      </c>
      <c r="B311" s="0" t="s">
        <v>378</v>
      </c>
      <c r="C311" s="0" t="s">
        <v>379</v>
      </c>
      <c r="D311" s="0" t="s">
        <v>46</v>
      </c>
      <c r="E311" s="0" t="s">
        <v>46</v>
      </c>
      <c r="F311" s="0" t="s">
        <v>46</v>
      </c>
      <c r="G311" s="0" t="s">
        <v>46</v>
      </c>
      <c r="H311" s="0" t="s">
        <v>46</v>
      </c>
      <c r="I311" s="0" t="s">
        <v>46</v>
      </c>
      <c r="J311" s="0" t="s">
        <v>46</v>
      </c>
      <c r="K311" s="0" t="s">
        <v>46</v>
      </c>
      <c r="L311" s="0" t="s">
        <v>46</v>
      </c>
      <c r="M311" s="0" t="s">
        <v>46</v>
      </c>
      <c r="N311" s="0" t="s">
        <v>46</v>
      </c>
      <c r="O311" s="0" t="s">
        <v>46</v>
      </c>
    </row>
    <row r="312" customFormat="false" ht="15" hidden="false" customHeight="false" outlineLevel="0" collapsed="false">
      <c r="A312" s="0" t="s">
        <v>3443</v>
      </c>
      <c r="B312" s="0" t="s">
        <v>46</v>
      </c>
      <c r="C312" s="0" t="s">
        <v>3444</v>
      </c>
      <c r="D312" s="0" t="s">
        <v>46</v>
      </c>
      <c r="E312" s="0" t="s">
        <v>46</v>
      </c>
      <c r="F312" s="0" t="s">
        <v>46</v>
      </c>
      <c r="G312" s="0" t="s">
        <v>46</v>
      </c>
      <c r="H312" s="0" t="s">
        <v>46</v>
      </c>
      <c r="I312" s="0" t="s">
        <v>46</v>
      </c>
      <c r="J312" s="0" t="s">
        <v>46</v>
      </c>
      <c r="K312" s="0" t="s">
        <v>46</v>
      </c>
      <c r="L312" s="0" t="s">
        <v>46</v>
      </c>
      <c r="M312" s="0" t="s">
        <v>46</v>
      </c>
      <c r="N312" s="0" t="s">
        <v>46</v>
      </c>
      <c r="O312" s="0" t="s">
        <v>46</v>
      </c>
    </row>
    <row r="313" customFormat="false" ht="15" hidden="false" customHeight="false" outlineLevel="0" collapsed="false">
      <c r="A313" s="0" t="s">
        <v>3445</v>
      </c>
      <c r="B313" s="0" t="s">
        <v>3446</v>
      </c>
      <c r="C313" s="0" t="s">
        <v>3447</v>
      </c>
      <c r="D313" s="0" t="s">
        <v>3448</v>
      </c>
      <c r="E313" s="0" t="s">
        <v>46</v>
      </c>
      <c r="F313" s="0" t="s">
        <v>46</v>
      </c>
      <c r="G313" s="0" t="s">
        <v>46</v>
      </c>
      <c r="H313" s="0" t="s">
        <v>46</v>
      </c>
      <c r="I313" s="0" t="s">
        <v>46</v>
      </c>
      <c r="J313" s="0" t="s">
        <v>46</v>
      </c>
      <c r="K313" s="0" t="s">
        <v>46</v>
      </c>
      <c r="L313" s="0" t="s">
        <v>46</v>
      </c>
      <c r="M313" s="0" t="s">
        <v>46</v>
      </c>
      <c r="N313" s="0" t="s">
        <v>46</v>
      </c>
      <c r="O313" s="0" t="s">
        <v>46</v>
      </c>
    </row>
    <row r="314" customFormat="false" ht="15" hidden="false" customHeight="false" outlineLevel="0" collapsed="false">
      <c r="A314" s="0" t="s">
        <v>3449</v>
      </c>
      <c r="B314" s="0" t="s">
        <v>1150</v>
      </c>
      <c r="C314" s="0" t="s">
        <v>1151</v>
      </c>
      <c r="D314" s="0" t="s">
        <v>1152</v>
      </c>
      <c r="E314" s="0" t="s">
        <v>46</v>
      </c>
      <c r="F314" s="0" t="s">
        <v>3450</v>
      </c>
      <c r="G314" s="0" t="s">
        <v>3451</v>
      </c>
      <c r="H314" s="0" t="s">
        <v>3452</v>
      </c>
      <c r="I314" s="0" t="s">
        <v>46</v>
      </c>
      <c r="J314" s="0" t="s">
        <v>46</v>
      </c>
      <c r="K314" s="0" t="s">
        <v>46</v>
      </c>
      <c r="L314" s="0" t="s">
        <v>46</v>
      </c>
      <c r="M314" s="0" t="s">
        <v>46</v>
      </c>
      <c r="N314" s="0" t="s">
        <v>46</v>
      </c>
      <c r="O314" s="0" t="s">
        <v>46</v>
      </c>
    </row>
    <row r="315" customFormat="false" ht="15" hidden="false" customHeight="false" outlineLevel="0" collapsed="false">
      <c r="A315" s="0" t="s">
        <v>3453</v>
      </c>
      <c r="B315" s="0" t="s">
        <v>46</v>
      </c>
      <c r="C315" s="0" t="s">
        <v>3454</v>
      </c>
      <c r="D315" s="0" t="s">
        <v>46</v>
      </c>
      <c r="E315" s="0" t="s">
        <v>46</v>
      </c>
      <c r="F315" s="0" t="s">
        <v>46</v>
      </c>
      <c r="G315" s="0" t="s">
        <v>46</v>
      </c>
      <c r="H315" s="0" t="s">
        <v>46</v>
      </c>
      <c r="I315" s="0" t="s">
        <v>46</v>
      </c>
      <c r="J315" s="0" t="s">
        <v>46</v>
      </c>
      <c r="K315" s="0" t="s">
        <v>46</v>
      </c>
      <c r="L315" s="0" t="s">
        <v>46</v>
      </c>
      <c r="M315" s="0" t="s">
        <v>46</v>
      </c>
      <c r="N315" s="0" t="s">
        <v>46</v>
      </c>
      <c r="O315" s="0" t="s">
        <v>46</v>
      </c>
    </row>
    <row r="316" customFormat="false" ht="15" hidden="false" customHeight="false" outlineLevel="0" collapsed="false">
      <c r="A316" s="0" t="s">
        <v>3455</v>
      </c>
      <c r="B316" s="0" t="s">
        <v>1435</v>
      </c>
      <c r="C316" s="0" t="s">
        <v>3456</v>
      </c>
      <c r="D316" s="0" t="s">
        <v>46</v>
      </c>
      <c r="E316" s="0" t="s">
        <v>46</v>
      </c>
      <c r="F316" s="0" t="s">
        <v>46</v>
      </c>
      <c r="G316" s="0" t="s">
        <v>46</v>
      </c>
      <c r="H316" s="0" t="s">
        <v>46</v>
      </c>
      <c r="I316" s="0" t="s">
        <v>46</v>
      </c>
      <c r="J316" s="0" t="s">
        <v>46</v>
      </c>
      <c r="K316" s="0" t="s">
        <v>46</v>
      </c>
      <c r="L316" s="0" t="s">
        <v>46</v>
      </c>
      <c r="M316" s="0" t="s">
        <v>46</v>
      </c>
      <c r="N316" s="0" t="s">
        <v>46</v>
      </c>
      <c r="O316" s="0" t="s">
        <v>46</v>
      </c>
    </row>
    <row r="317" customFormat="false" ht="15" hidden="false" customHeight="false" outlineLevel="0" collapsed="false">
      <c r="A317" s="0" t="s">
        <v>3457</v>
      </c>
      <c r="B317" s="0" t="s">
        <v>2068</v>
      </c>
      <c r="C317" s="0" t="s">
        <v>2069</v>
      </c>
      <c r="D317" s="0" t="s">
        <v>46</v>
      </c>
      <c r="E317" s="0" t="s">
        <v>46</v>
      </c>
      <c r="F317" s="0" t="s">
        <v>3458</v>
      </c>
      <c r="G317" s="0" t="s">
        <v>3459</v>
      </c>
      <c r="H317" s="0" t="s">
        <v>3460</v>
      </c>
      <c r="I317" s="0" t="s">
        <v>46</v>
      </c>
      <c r="J317" s="0" t="s">
        <v>46</v>
      </c>
      <c r="K317" s="0" t="s">
        <v>46</v>
      </c>
      <c r="L317" s="0" t="s">
        <v>46</v>
      </c>
      <c r="M317" s="0" t="s">
        <v>46</v>
      </c>
      <c r="N317" s="0" t="s">
        <v>46</v>
      </c>
      <c r="O317" s="0" t="s">
        <v>46</v>
      </c>
    </row>
    <row r="318" customFormat="false" ht="15" hidden="false" customHeight="false" outlineLevel="0" collapsed="false">
      <c r="A318" s="0" t="s">
        <v>3461</v>
      </c>
      <c r="B318" s="0" t="s">
        <v>543</v>
      </c>
      <c r="C318" s="0" t="s">
        <v>544</v>
      </c>
      <c r="D318" s="0" t="s">
        <v>545</v>
      </c>
      <c r="E318" s="0" t="s">
        <v>46</v>
      </c>
      <c r="F318" s="0" t="s">
        <v>46</v>
      </c>
      <c r="G318" s="0" t="s">
        <v>3462</v>
      </c>
      <c r="H318" s="0" t="s">
        <v>3463</v>
      </c>
      <c r="I318" s="0" t="s">
        <v>46</v>
      </c>
      <c r="J318" s="0" t="s">
        <v>46</v>
      </c>
      <c r="K318" s="0" t="s">
        <v>46</v>
      </c>
      <c r="L318" s="0" t="s">
        <v>46</v>
      </c>
      <c r="M318" s="0" t="s">
        <v>46</v>
      </c>
      <c r="N318" s="0" t="s">
        <v>46</v>
      </c>
      <c r="O318" s="0" t="s">
        <v>46</v>
      </c>
    </row>
    <row r="319" customFormat="false" ht="15" hidden="false" customHeight="false" outlineLevel="0" collapsed="false">
      <c r="A319" s="0" t="s">
        <v>3464</v>
      </c>
      <c r="B319" s="0" t="s">
        <v>1769</v>
      </c>
      <c r="C319" s="0" t="s">
        <v>1770</v>
      </c>
      <c r="D319" s="0" t="s">
        <v>1771</v>
      </c>
      <c r="E319" s="0" t="s">
        <v>46</v>
      </c>
      <c r="F319" s="0" t="s">
        <v>46</v>
      </c>
      <c r="G319" s="0" t="s">
        <v>3465</v>
      </c>
      <c r="H319" s="0" t="s">
        <v>46</v>
      </c>
      <c r="I319" s="0" t="s">
        <v>46</v>
      </c>
      <c r="J319" s="0" t="s">
        <v>46</v>
      </c>
      <c r="K319" s="0" t="s">
        <v>46</v>
      </c>
      <c r="L319" s="0" t="s">
        <v>46</v>
      </c>
      <c r="M319" s="0" t="s">
        <v>46</v>
      </c>
      <c r="N319" s="0" t="s">
        <v>46</v>
      </c>
      <c r="O319" s="0" t="s">
        <v>46</v>
      </c>
    </row>
    <row r="320" customFormat="false" ht="15" hidden="false" customHeight="false" outlineLevel="0" collapsed="false">
      <c r="A320" s="0" t="s">
        <v>3466</v>
      </c>
      <c r="B320" s="0" t="s">
        <v>1385</v>
      </c>
      <c r="C320" s="0" t="s">
        <v>1386</v>
      </c>
      <c r="D320" s="0" t="s">
        <v>1387</v>
      </c>
      <c r="E320" s="0" t="s">
        <v>46</v>
      </c>
      <c r="F320" s="0" t="s">
        <v>3467</v>
      </c>
      <c r="G320" s="0" t="s">
        <v>3468</v>
      </c>
      <c r="H320" s="0" t="s">
        <v>3138</v>
      </c>
      <c r="I320" s="0" t="s">
        <v>46</v>
      </c>
      <c r="J320" s="0" t="s">
        <v>46</v>
      </c>
      <c r="K320" s="0" t="s">
        <v>46</v>
      </c>
      <c r="L320" s="0" t="s">
        <v>46</v>
      </c>
      <c r="M320" s="0" t="s">
        <v>46</v>
      </c>
      <c r="N320" s="0" t="s">
        <v>46</v>
      </c>
      <c r="O320" s="0" t="s">
        <v>46</v>
      </c>
    </row>
    <row r="321" customFormat="false" ht="15" hidden="false" customHeight="false" outlineLevel="0" collapsed="false">
      <c r="A321" s="0" t="s">
        <v>3469</v>
      </c>
      <c r="B321" s="0" t="s">
        <v>889</v>
      </c>
      <c r="C321" s="0" t="s">
        <v>890</v>
      </c>
      <c r="D321" s="0" t="s">
        <v>46</v>
      </c>
      <c r="E321" s="0" t="s">
        <v>46</v>
      </c>
      <c r="F321" s="0" t="s">
        <v>3470</v>
      </c>
      <c r="G321" s="0" t="s">
        <v>3471</v>
      </c>
      <c r="H321" s="0" t="s">
        <v>46</v>
      </c>
      <c r="I321" s="0" t="s">
        <v>46</v>
      </c>
      <c r="J321" s="0" t="s">
        <v>46</v>
      </c>
      <c r="K321" s="0" t="s">
        <v>46</v>
      </c>
      <c r="L321" s="0" t="s">
        <v>46</v>
      </c>
      <c r="M321" s="0" t="s">
        <v>46</v>
      </c>
      <c r="N321" s="0" t="s">
        <v>46</v>
      </c>
      <c r="O321" s="0" t="s">
        <v>46</v>
      </c>
    </row>
    <row r="322" customFormat="false" ht="15" hidden="false" customHeight="false" outlineLevel="0" collapsed="false">
      <c r="A322" s="0" t="s">
        <v>3472</v>
      </c>
      <c r="B322" s="0" t="s">
        <v>1005</v>
      </c>
      <c r="C322" s="0" t="s">
        <v>1006</v>
      </c>
      <c r="D322" s="0" t="s">
        <v>1007</v>
      </c>
      <c r="E322" s="0" t="s">
        <v>46</v>
      </c>
      <c r="F322" s="0" t="s">
        <v>3473</v>
      </c>
      <c r="G322" s="0" t="s">
        <v>3474</v>
      </c>
      <c r="H322" s="0" t="s">
        <v>46</v>
      </c>
      <c r="I322" s="0" t="s">
        <v>46</v>
      </c>
      <c r="J322" s="0" t="s">
        <v>46</v>
      </c>
      <c r="K322" s="0" t="s">
        <v>46</v>
      </c>
      <c r="L322" s="0" t="s">
        <v>46</v>
      </c>
      <c r="M322" s="0" t="s">
        <v>46</v>
      </c>
      <c r="N322" s="0" t="s">
        <v>46</v>
      </c>
      <c r="O322" s="0" t="s">
        <v>46</v>
      </c>
    </row>
    <row r="323" customFormat="false" ht="15" hidden="false" customHeight="false" outlineLevel="0" collapsed="false">
      <c r="A323" s="0" t="s">
        <v>3475</v>
      </c>
      <c r="B323" s="0" t="s">
        <v>3476</v>
      </c>
      <c r="C323" s="0" t="s">
        <v>3477</v>
      </c>
      <c r="D323" s="0" t="s">
        <v>46</v>
      </c>
      <c r="E323" s="0" t="s">
        <v>46</v>
      </c>
      <c r="F323" s="0" t="s">
        <v>3478</v>
      </c>
      <c r="G323" s="0" t="s">
        <v>46</v>
      </c>
      <c r="H323" s="0" t="s">
        <v>46</v>
      </c>
      <c r="I323" s="0" t="s">
        <v>46</v>
      </c>
      <c r="J323" s="0" t="s">
        <v>46</v>
      </c>
      <c r="K323" s="0" t="s">
        <v>46</v>
      </c>
      <c r="L323" s="0" t="s">
        <v>46</v>
      </c>
      <c r="M323" s="0" t="s">
        <v>46</v>
      </c>
      <c r="N323" s="0" t="s">
        <v>46</v>
      </c>
      <c r="O323" s="0" t="s">
        <v>46</v>
      </c>
    </row>
    <row r="324" customFormat="false" ht="15" hidden="false" customHeight="false" outlineLevel="0" collapsed="false">
      <c r="A324" s="0" t="s">
        <v>3479</v>
      </c>
      <c r="B324" s="0" t="s">
        <v>1968</v>
      </c>
      <c r="C324" s="0" t="s">
        <v>1969</v>
      </c>
      <c r="D324" s="0" t="s">
        <v>1970</v>
      </c>
      <c r="E324" s="0" t="s">
        <v>46</v>
      </c>
      <c r="F324" s="0" t="s">
        <v>3480</v>
      </c>
      <c r="G324" s="0" t="s">
        <v>3481</v>
      </c>
      <c r="H324" s="0" t="s">
        <v>3482</v>
      </c>
      <c r="I324" s="0" t="s">
        <v>46</v>
      </c>
      <c r="J324" s="0" t="s">
        <v>46</v>
      </c>
      <c r="K324" s="0" t="s">
        <v>46</v>
      </c>
      <c r="L324" s="0" t="s">
        <v>46</v>
      </c>
      <c r="M324" s="0" t="s">
        <v>46</v>
      </c>
      <c r="N324" s="0" t="s">
        <v>46</v>
      </c>
      <c r="O324" s="0" t="s">
        <v>46</v>
      </c>
    </row>
    <row r="325" customFormat="false" ht="15" hidden="false" customHeight="false" outlineLevel="0" collapsed="false">
      <c r="A325" s="0" t="s">
        <v>3483</v>
      </c>
      <c r="B325" s="0" t="s">
        <v>3484</v>
      </c>
      <c r="C325" s="0" t="s">
        <v>3485</v>
      </c>
      <c r="D325" s="0" t="s">
        <v>3486</v>
      </c>
      <c r="E325" s="0" t="s">
        <v>46</v>
      </c>
      <c r="F325" s="0" t="s">
        <v>46</v>
      </c>
      <c r="G325" s="0" t="s">
        <v>3487</v>
      </c>
      <c r="H325" s="0" t="s">
        <v>46</v>
      </c>
      <c r="I325" s="0" t="s">
        <v>46</v>
      </c>
      <c r="J325" s="0" t="s">
        <v>46</v>
      </c>
      <c r="K325" s="0" t="s">
        <v>46</v>
      </c>
      <c r="L325" s="0" t="s">
        <v>46</v>
      </c>
      <c r="M325" s="0" t="s">
        <v>46</v>
      </c>
      <c r="N325" s="0" t="s">
        <v>46</v>
      </c>
      <c r="O325" s="0" t="s">
        <v>46</v>
      </c>
    </row>
    <row r="326" customFormat="false" ht="15" hidden="false" customHeight="false" outlineLevel="0" collapsed="false">
      <c r="A326" s="0" t="s">
        <v>3488</v>
      </c>
      <c r="B326" s="0" t="s">
        <v>2037</v>
      </c>
      <c r="C326" s="0" t="s">
        <v>2038</v>
      </c>
      <c r="D326" s="0" t="s">
        <v>2039</v>
      </c>
      <c r="E326" s="0" t="s">
        <v>46</v>
      </c>
      <c r="F326" s="0" t="s">
        <v>46</v>
      </c>
      <c r="G326" s="0" t="s">
        <v>3489</v>
      </c>
      <c r="H326" s="0" t="s">
        <v>3490</v>
      </c>
      <c r="I326" s="0" t="s">
        <v>46</v>
      </c>
      <c r="J326" s="0" t="s">
        <v>46</v>
      </c>
      <c r="K326" s="0" t="s">
        <v>46</v>
      </c>
      <c r="L326" s="0" t="s">
        <v>46</v>
      </c>
      <c r="M326" s="0" t="s">
        <v>46</v>
      </c>
      <c r="N326" s="0" t="s">
        <v>46</v>
      </c>
      <c r="O326" s="0" t="s">
        <v>46</v>
      </c>
    </row>
    <row r="327" customFormat="false" ht="15" hidden="false" customHeight="false" outlineLevel="0" collapsed="false">
      <c r="A327" s="0" t="s">
        <v>3491</v>
      </c>
      <c r="B327" s="0" t="s">
        <v>959</v>
      </c>
      <c r="C327" s="0" t="s">
        <v>960</v>
      </c>
      <c r="D327" s="0" t="s">
        <v>961</v>
      </c>
      <c r="E327" s="0" t="s">
        <v>46</v>
      </c>
      <c r="F327" s="0" t="s">
        <v>46</v>
      </c>
      <c r="G327" s="0" t="s">
        <v>3492</v>
      </c>
      <c r="H327" s="0" t="s">
        <v>3493</v>
      </c>
      <c r="I327" s="0" t="s">
        <v>46</v>
      </c>
      <c r="J327" s="0" t="s">
        <v>46</v>
      </c>
      <c r="K327" s="0" t="s">
        <v>46</v>
      </c>
      <c r="L327" s="0" t="s">
        <v>46</v>
      </c>
      <c r="M327" s="0" t="s">
        <v>46</v>
      </c>
      <c r="N327" s="0" t="s">
        <v>46</v>
      </c>
      <c r="O327" s="0" t="s">
        <v>46</v>
      </c>
    </row>
    <row r="328" customFormat="false" ht="15" hidden="false" customHeight="false" outlineLevel="0" collapsed="false">
      <c r="A328" s="0" t="s">
        <v>3494</v>
      </c>
      <c r="B328" s="0" t="s">
        <v>1521</v>
      </c>
      <c r="C328" s="0" t="s">
        <v>1522</v>
      </c>
      <c r="D328" s="0" t="s">
        <v>1523</v>
      </c>
      <c r="E328" s="0" t="s">
        <v>46</v>
      </c>
      <c r="F328" s="0" t="s">
        <v>3495</v>
      </c>
      <c r="G328" s="0" t="s">
        <v>3496</v>
      </c>
      <c r="H328" s="0" t="s">
        <v>3497</v>
      </c>
      <c r="I328" s="0" t="s">
        <v>46</v>
      </c>
      <c r="J328" s="0" t="s">
        <v>46</v>
      </c>
      <c r="K328" s="0" t="s">
        <v>46</v>
      </c>
      <c r="L328" s="0" t="s">
        <v>46</v>
      </c>
      <c r="M328" s="0" t="s">
        <v>46</v>
      </c>
      <c r="N328" s="0" t="s">
        <v>46</v>
      </c>
      <c r="O328" s="0" t="s">
        <v>46</v>
      </c>
    </row>
    <row r="329" customFormat="false" ht="15" hidden="false" customHeight="false" outlineLevel="0" collapsed="false">
      <c r="A329" s="0" t="s">
        <v>3498</v>
      </c>
      <c r="B329" s="0" t="s">
        <v>1202</v>
      </c>
      <c r="C329" s="0" t="s">
        <v>1203</v>
      </c>
      <c r="D329" s="0" t="s">
        <v>1204</v>
      </c>
      <c r="E329" s="0" t="s">
        <v>46</v>
      </c>
      <c r="F329" s="0" t="s">
        <v>3499</v>
      </c>
      <c r="G329" s="0" t="s">
        <v>3500</v>
      </c>
      <c r="H329" s="0" t="s">
        <v>3501</v>
      </c>
      <c r="I329" s="0" t="s">
        <v>46</v>
      </c>
      <c r="J329" s="0" t="s">
        <v>46</v>
      </c>
      <c r="K329" s="0" t="s">
        <v>46</v>
      </c>
      <c r="L329" s="0" t="s">
        <v>46</v>
      </c>
      <c r="M329" s="0" t="s">
        <v>46</v>
      </c>
      <c r="N329" s="0" t="s">
        <v>46</v>
      </c>
      <c r="O329" s="0" t="s">
        <v>46</v>
      </c>
    </row>
    <row r="330" customFormat="false" ht="15" hidden="false" customHeight="false" outlineLevel="0" collapsed="false">
      <c r="A330" s="0" t="s">
        <v>3502</v>
      </c>
      <c r="B330" s="0" t="s">
        <v>485</v>
      </c>
      <c r="C330" s="0" t="s">
        <v>486</v>
      </c>
      <c r="D330" s="0" t="s">
        <v>46</v>
      </c>
      <c r="E330" s="0" t="s">
        <v>46</v>
      </c>
      <c r="F330" s="0" t="s">
        <v>3503</v>
      </c>
      <c r="G330" s="0" t="s">
        <v>3504</v>
      </c>
      <c r="H330" s="0" t="s">
        <v>3505</v>
      </c>
      <c r="I330" s="0" t="s">
        <v>46</v>
      </c>
      <c r="J330" s="0" t="s">
        <v>46</v>
      </c>
      <c r="K330" s="0" t="s">
        <v>46</v>
      </c>
      <c r="L330" s="0" t="s">
        <v>46</v>
      </c>
      <c r="M330" s="0" t="s">
        <v>46</v>
      </c>
      <c r="N330" s="0" t="s">
        <v>46</v>
      </c>
      <c r="O330" s="0" t="s">
        <v>46</v>
      </c>
    </row>
    <row r="331" customFormat="false" ht="15" hidden="false" customHeight="false" outlineLevel="0" collapsed="false">
      <c r="A331" s="0" t="s">
        <v>3506</v>
      </c>
      <c r="B331" s="0" t="s">
        <v>2114</v>
      </c>
      <c r="C331" s="0" t="s">
        <v>2115</v>
      </c>
      <c r="D331" s="0" t="s">
        <v>46</v>
      </c>
      <c r="E331" s="0" t="s">
        <v>46</v>
      </c>
      <c r="F331" s="0" t="s">
        <v>46</v>
      </c>
      <c r="G331" s="0" t="s">
        <v>46</v>
      </c>
      <c r="H331" s="0" t="s">
        <v>46</v>
      </c>
      <c r="I331" s="0" t="s">
        <v>46</v>
      </c>
      <c r="J331" s="0" t="s">
        <v>46</v>
      </c>
      <c r="K331" s="0" t="s">
        <v>46</v>
      </c>
      <c r="L331" s="0" t="s">
        <v>46</v>
      </c>
      <c r="M331" s="0" t="s">
        <v>46</v>
      </c>
      <c r="N331" s="0" t="s">
        <v>46</v>
      </c>
      <c r="O331" s="0" t="s">
        <v>46</v>
      </c>
    </row>
    <row r="332" customFormat="false" ht="15" hidden="false" customHeight="false" outlineLevel="0" collapsed="false">
      <c r="A332" s="0" t="s">
        <v>3507</v>
      </c>
      <c r="B332" s="0" t="s">
        <v>46</v>
      </c>
      <c r="C332" s="0" t="s">
        <v>3508</v>
      </c>
      <c r="D332" s="0" t="s">
        <v>46</v>
      </c>
      <c r="E332" s="0" t="s">
        <v>46</v>
      </c>
      <c r="F332" s="0" t="s">
        <v>46</v>
      </c>
      <c r="G332" s="0" t="s">
        <v>46</v>
      </c>
      <c r="H332" s="0" t="s">
        <v>46</v>
      </c>
      <c r="I332" s="0" t="s">
        <v>46</v>
      </c>
      <c r="J332" s="0" t="s">
        <v>46</v>
      </c>
      <c r="K332" s="0" t="s">
        <v>46</v>
      </c>
      <c r="L332" s="0" t="s">
        <v>46</v>
      </c>
      <c r="M332" s="0" t="s">
        <v>46</v>
      </c>
      <c r="N332" s="0" t="s">
        <v>46</v>
      </c>
      <c r="O332" s="0" t="s">
        <v>46</v>
      </c>
    </row>
    <row r="333" customFormat="false" ht="15" hidden="false" customHeight="false" outlineLevel="0" collapsed="false">
      <c r="A333" s="0" t="s">
        <v>3509</v>
      </c>
      <c r="B333" s="0" t="s">
        <v>769</v>
      </c>
      <c r="C333" s="0" t="s">
        <v>770</v>
      </c>
      <c r="D333" s="0" t="s">
        <v>771</v>
      </c>
      <c r="E333" s="0" t="s">
        <v>46</v>
      </c>
      <c r="F333" s="0" t="s">
        <v>3510</v>
      </c>
      <c r="G333" s="0" t="s">
        <v>3511</v>
      </c>
      <c r="H333" s="0" t="s">
        <v>3512</v>
      </c>
      <c r="I333" s="0" t="s">
        <v>46</v>
      </c>
      <c r="J333" s="0" t="s">
        <v>46</v>
      </c>
      <c r="K333" s="0" t="s">
        <v>46</v>
      </c>
      <c r="L333" s="0" t="s">
        <v>46</v>
      </c>
      <c r="M333" s="0" t="s">
        <v>46</v>
      </c>
      <c r="N333" s="0" t="s">
        <v>46</v>
      </c>
      <c r="O333" s="0" t="s">
        <v>46</v>
      </c>
    </row>
    <row r="334" customFormat="false" ht="15" hidden="false" customHeight="false" outlineLevel="0" collapsed="false">
      <c r="A334" s="0" t="s">
        <v>3513</v>
      </c>
      <c r="B334" s="0" t="s">
        <v>500</v>
      </c>
      <c r="C334" s="0" t="s">
        <v>501</v>
      </c>
      <c r="D334" s="0" t="s">
        <v>502</v>
      </c>
      <c r="E334" s="0" t="s">
        <v>46</v>
      </c>
      <c r="F334" s="0" t="s">
        <v>3514</v>
      </c>
      <c r="G334" s="0" t="s">
        <v>3515</v>
      </c>
      <c r="H334" s="0" t="s">
        <v>3516</v>
      </c>
      <c r="I334" s="0" t="s">
        <v>46</v>
      </c>
      <c r="J334" s="0" t="s">
        <v>46</v>
      </c>
      <c r="K334" s="0" t="s">
        <v>46</v>
      </c>
      <c r="L334" s="0" t="s">
        <v>46</v>
      </c>
      <c r="M334" s="0" t="s">
        <v>46</v>
      </c>
      <c r="N334" s="0" t="s">
        <v>46</v>
      </c>
      <c r="O334" s="0" t="s">
        <v>46</v>
      </c>
    </row>
    <row r="335" customFormat="false" ht="15" hidden="false" customHeight="false" outlineLevel="0" collapsed="false">
      <c r="A335" s="0" t="s">
        <v>3517</v>
      </c>
      <c r="B335" s="0" t="s">
        <v>1630</v>
      </c>
      <c r="C335" s="0" t="s">
        <v>1631</v>
      </c>
      <c r="D335" s="0" t="s">
        <v>46</v>
      </c>
      <c r="E335" s="0" t="s">
        <v>46</v>
      </c>
      <c r="F335" s="0" t="s">
        <v>46</v>
      </c>
      <c r="G335" s="0" t="s">
        <v>3518</v>
      </c>
      <c r="H335" s="0" t="s">
        <v>3519</v>
      </c>
      <c r="I335" s="0" t="s">
        <v>46</v>
      </c>
      <c r="J335" s="0" t="s">
        <v>46</v>
      </c>
      <c r="K335" s="0" t="s">
        <v>46</v>
      </c>
      <c r="L335" s="0" t="s">
        <v>46</v>
      </c>
      <c r="M335" s="0" t="s">
        <v>46</v>
      </c>
      <c r="N335" s="0" t="s">
        <v>46</v>
      </c>
      <c r="O335" s="0" t="s">
        <v>46</v>
      </c>
    </row>
    <row r="336" customFormat="false" ht="15" hidden="false" customHeight="false" outlineLevel="0" collapsed="false">
      <c r="A336" s="0" t="s">
        <v>3520</v>
      </c>
      <c r="B336" s="0" t="s">
        <v>2007</v>
      </c>
      <c r="C336" s="0" t="s">
        <v>2008</v>
      </c>
      <c r="D336" s="0" t="s">
        <v>2009</v>
      </c>
      <c r="E336" s="0" t="s">
        <v>46</v>
      </c>
      <c r="F336" s="0" t="s">
        <v>46</v>
      </c>
      <c r="G336" s="0" t="s">
        <v>46</v>
      </c>
      <c r="H336" s="0" t="s">
        <v>46</v>
      </c>
      <c r="I336" s="0" t="s">
        <v>46</v>
      </c>
      <c r="J336" s="0" t="s">
        <v>46</v>
      </c>
      <c r="K336" s="0" t="s">
        <v>46</v>
      </c>
      <c r="L336" s="0" t="s">
        <v>46</v>
      </c>
      <c r="M336" s="0" t="s">
        <v>46</v>
      </c>
      <c r="N336" s="0" t="s">
        <v>46</v>
      </c>
      <c r="O336" s="0" t="s">
        <v>46</v>
      </c>
    </row>
    <row r="337" customFormat="false" ht="15" hidden="false" customHeight="false" outlineLevel="0" collapsed="false">
      <c r="A337" s="0" t="s">
        <v>3521</v>
      </c>
      <c r="B337" s="0" t="s">
        <v>2098</v>
      </c>
      <c r="C337" s="0" t="s">
        <v>2099</v>
      </c>
      <c r="D337" s="0" t="s">
        <v>2100</v>
      </c>
      <c r="E337" s="0" t="s">
        <v>46</v>
      </c>
      <c r="F337" s="0" t="s">
        <v>3522</v>
      </c>
      <c r="G337" s="0" t="s">
        <v>3523</v>
      </c>
      <c r="H337" s="0" t="s">
        <v>3524</v>
      </c>
      <c r="I337" s="0" t="s">
        <v>46</v>
      </c>
      <c r="J337" s="0" t="s">
        <v>46</v>
      </c>
      <c r="K337" s="0" t="s">
        <v>46</v>
      </c>
      <c r="L337" s="0" t="s">
        <v>46</v>
      </c>
      <c r="M337" s="0" t="s">
        <v>46</v>
      </c>
      <c r="N337" s="0" t="s">
        <v>46</v>
      </c>
      <c r="O337" s="0" t="s">
        <v>46</v>
      </c>
    </row>
    <row r="338" customFormat="false" ht="15" hidden="false" customHeight="false" outlineLevel="0" collapsed="false">
      <c r="A338" s="0" t="s">
        <v>3525</v>
      </c>
      <c r="B338" s="0" t="s">
        <v>1208</v>
      </c>
      <c r="C338" s="0" t="s">
        <v>1209</v>
      </c>
      <c r="D338" s="0" t="s">
        <v>1210</v>
      </c>
      <c r="E338" s="0" t="s">
        <v>46</v>
      </c>
      <c r="F338" s="0" t="s">
        <v>3526</v>
      </c>
      <c r="G338" s="0" t="s">
        <v>3527</v>
      </c>
      <c r="H338" s="0" t="s">
        <v>46</v>
      </c>
      <c r="I338" s="0" t="s">
        <v>46</v>
      </c>
      <c r="J338" s="0" t="s">
        <v>46</v>
      </c>
      <c r="K338" s="0" t="s">
        <v>46</v>
      </c>
      <c r="L338" s="0" t="s">
        <v>46</v>
      </c>
      <c r="M338" s="0" t="s">
        <v>46</v>
      </c>
      <c r="N338" s="0" t="s">
        <v>46</v>
      </c>
      <c r="O338" s="0" t="s">
        <v>46</v>
      </c>
    </row>
    <row r="339" customFormat="false" ht="15" hidden="false" customHeight="false" outlineLevel="0" collapsed="false">
      <c r="A339" s="0" t="s">
        <v>3528</v>
      </c>
      <c r="B339" s="0" t="s">
        <v>692</v>
      </c>
      <c r="C339" s="0" t="s">
        <v>693</v>
      </c>
      <c r="D339" s="0" t="s">
        <v>694</v>
      </c>
      <c r="E339" s="0" t="s">
        <v>46</v>
      </c>
      <c r="F339" s="0" t="s">
        <v>3529</v>
      </c>
      <c r="G339" s="0" t="s">
        <v>3530</v>
      </c>
      <c r="H339" s="0" t="s">
        <v>3531</v>
      </c>
      <c r="I339" s="0" t="s">
        <v>46</v>
      </c>
      <c r="J339" s="0" t="s">
        <v>46</v>
      </c>
      <c r="K339" s="0" t="s">
        <v>46</v>
      </c>
      <c r="L339" s="0" t="s">
        <v>46</v>
      </c>
      <c r="M339" s="0" t="s">
        <v>46</v>
      </c>
      <c r="N339" s="0" t="s">
        <v>46</v>
      </c>
      <c r="O339" s="0" t="s">
        <v>46</v>
      </c>
    </row>
    <row r="340" customFormat="false" ht="15" hidden="false" customHeight="false" outlineLevel="0" collapsed="false">
      <c r="A340" s="0" t="s">
        <v>3532</v>
      </c>
      <c r="B340" s="0" t="s">
        <v>2294</v>
      </c>
      <c r="C340" s="0" t="s">
        <v>2295</v>
      </c>
      <c r="D340" s="0" t="s">
        <v>2296</v>
      </c>
      <c r="E340" s="0" t="s">
        <v>46</v>
      </c>
      <c r="F340" s="0" t="s">
        <v>3533</v>
      </c>
      <c r="G340" s="0" t="s">
        <v>3534</v>
      </c>
      <c r="H340" s="0" t="s">
        <v>3535</v>
      </c>
      <c r="I340" s="0" t="s">
        <v>46</v>
      </c>
      <c r="J340" s="0" t="s">
        <v>46</v>
      </c>
      <c r="K340" s="0" t="s">
        <v>46</v>
      </c>
      <c r="L340" s="0" t="s">
        <v>46</v>
      </c>
      <c r="M340" s="0" t="s">
        <v>46</v>
      </c>
      <c r="N340" s="0" t="s">
        <v>46</v>
      </c>
      <c r="O340" s="0" t="s">
        <v>46</v>
      </c>
    </row>
    <row r="341" customFormat="false" ht="15" hidden="false" customHeight="false" outlineLevel="0" collapsed="false">
      <c r="A341" s="0" t="s">
        <v>3536</v>
      </c>
      <c r="B341" s="0" t="s">
        <v>2270</v>
      </c>
      <c r="C341" s="0" t="s">
        <v>2271</v>
      </c>
      <c r="D341" s="0" t="s">
        <v>2272</v>
      </c>
      <c r="E341" s="0" t="s">
        <v>46</v>
      </c>
      <c r="F341" s="0" t="s">
        <v>3537</v>
      </c>
      <c r="G341" s="0" t="s">
        <v>46</v>
      </c>
      <c r="H341" s="0" t="s">
        <v>46</v>
      </c>
      <c r="I341" s="0" t="s">
        <v>46</v>
      </c>
      <c r="J341" s="0" t="s">
        <v>46</v>
      </c>
      <c r="K341" s="0" t="s">
        <v>46</v>
      </c>
      <c r="L341" s="0" t="s">
        <v>46</v>
      </c>
      <c r="M341" s="0" t="s">
        <v>46</v>
      </c>
      <c r="N341" s="0" t="s">
        <v>46</v>
      </c>
      <c r="O341" s="0" t="s">
        <v>46</v>
      </c>
    </row>
    <row r="342" customFormat="false" ht="15" hidden="false" customHeight="false" outlineLevel="0" collapsed="false">
      <c r="A342" s="0" t="s">
        <v>3538</v>
      </c>
      <c r="B342" s="0" t="s">
        <v>1560</v>
      </c>
      <c r="C342" s="0" t="s">
        <v>1561</v>
      </c>
      <c r="D342" s="0" t="s">
        <v>1562</v>
      </c>
      <c r="E342" s="0" t="s">
        <v>46</v>
      </c>
      <c r="F342" s="0" t="s">
        <v>46</v>
      </c>
      <c r="G342" s="0" t="s">
        <v>46</v>
      </c>
      <c r="H342" s="0" t="s">
        <v>46</v>
      </c>
      <c r="I342" s="0" t="s">
        <v>46</v>
      </c>
      <c r="J342" s="0" t="s">
        <v>46</v>
      </c>
      <c r="K342" s="0" t="s">
        <v>46</v>
      </c>
      <c r="L342" s="0" t="s">
        <v>46</v>
      </c>
      <c r="M342" s="0" t="s">
        <v>46</v>
      </c>
      <c r="N342" s="0" t="s">
        <v>46</v>
      </c>
      <c r="O342" s="0" t="s">
        <v>46</v>
      </c>
    </row>
    <row r="343" customFormat="false" ht="15" hidden="false" customHeight="false" outlineLevel="0" collapsed="false">
      <c r="A343" s="0" t="s">
        <v>3539</v>
      </c>
      <c r="B343" s="0" t="s">
        <v>2441</v>
      </c>
      <c r="C343" s="0" t="s">
        <v>2442</v>
      </c>
      <c r="D343" s="0" t="s">
        <v>428</v>
      </c>
      <c r="E343" s="0" t="s">
        <v>46</v>
      </c>
      <c r="F343" s="0" t="s">
        <v>46</v>
      </c>
      <c r="G343" s="0" t="s">
        <v>46</v>
      </c>
      <c r="H343" s="0" t="s">
        <v>46</v>
      </c>
      <c r="I343" s="0" t="s">
        <v>46</v>
      </c>
      <c r="J343" s="0" t="s">
        <v>46</v>
      </c>
      <c r="K343" s="0" t="s">
        <v>46</v>
      </c>
      <c r="L343" s="0" t="s">
        <v>46</v>
      </c>
      <c r="M343" s="0" t="s">
        <v>46</v>
      </c>
      <c r="N343" s="0" t="s">
        <v>46</v>
      </c>
      <c r="O343" s="0" t="s">
        <v>46</v>
      </c>
    </row>
    <row r="344" customFormat="false" ht="15" hidden="false" customHeight="false" outlineLevel="0" collapsed="false">
      <c r="A344" s="0" t="s">
        <v>3540</v>
      </c>
      <c r="B344" s="0" t="s">
        <v>420</v>
      </c>
      <c r="C344" s="0" t="s">
        <v>421</v>
      </c>
      <c r="D344" s="0" t="s">
        <v>46</v>
      </c>
      <c r="E344" s="0" t="s">
        <v>46</v>
      </c>
      <c r="F344" s="0" t="s">
        <v>46</v>
      </c>
      <c r="G344" s="0" t="s">
        <v>3541</v>
      </c>
      <c r="H344" s="0" t="s">
        <v>3542</v>
      </c>
      <c r="I344" s="0" t="s">
        <v>46</v>
      </c>
      <c r="J344" s="0" t="s">
        <v>46</v>
      </c>
      <c r="K344" s="0" t="s">
        <v>46</v>
      </c>
      <c r="L344" s="0" t="s">
        <v>46</v>
      </c>
      <c r="M344" s="0" t="s">
        <v>46</v>
      </c>
      <c r="N344" s="0" t="s">
        <v>46</v>
      </c>
      <c r="O344" s="0" t="s">
        <v>46</v>
      </c>
    </row>
    <row r="345" customFormat="false" ht="15" hidden="false" customHeight="false" outlineLevel="0" collapsed="false">
      <c r="A345" s="0" t="s">
        <v>3543</v>
      </c>
      <c r="B345" s="0" t="s">
        <v>1309</v>
      </c>
      <c r="C345" s="0" t="s">
        <v>1310</v>
      </c>
      <c r="D345" s="0" t="s">
        <v>1311</v>
      </c>
      <c r="E345" s="0" t="s">
        <v>46</v>
      </c>
      <c r="F345" s="0" t="s">
        <v>3544</v>
      </c>
      <c r="G345" s="0" t="s">
        <v>3545</v>
      </c>
      <c r="H345" s="0" t="s">
        <v>3546</v>
      </c>
      <c r="I345" s="0" t="s">
        <v>46</v>
      </c>
      <c r="J345" s="0" t="s">
        <v>46</v>
      </c>
      <c r="K345" s="0" t="s">
        <v>46</v>
      </c>
      <c r="L345" s="0" t="s">
        <v>46</v>
      </c>
      <c r="M345" s="0" t="s">
        <v>46</v>
      </c>
      <c r="N345" s="0" t="s">
        <v>46</v>
      </c>
      <c r="O345" s="0" t="s">
        <v>46</v>
      </c>
    </row>
    <row r="346" customFormat="false" ht="15" hidden="false" customHeight="false" outlineLevel="0" collapsed="false">
      <c r="A346" s="0" t="s">
        <v>3547</v>
      </c>
      <c r="B346" s="0" t="s">
        <v>856</v>
      </c>
      <c r="C346" s="0" t="s">
        <v>857</v>
      </c>
      <c r="D346" s="0" t="s">
        <v>46</v>
      </c>
      <c r="E346" s="0" t="s">
        <v>46</v>
      </c>
      <c r="F346" s="0" t="s">
        <v>46</v>
      </c>
      <c r="G346" s="0" t="s">
        <v>3548</v>
      </c>
      <c r="H346" s="0" t="s">
        <v>46</v>
      </c>
      <c r="I346" s="0" t="s">
        <v>46</v>
      </c>
      <c r="J346" s="0" t="s">
        <v>46</v>
      </c>
      <c r="K346" s="0" t="s">
        <v>46</v>
      </c>
      <c r="L346" s="0" t="s">
        <v>46</v>
      </c>
      <c r="M346" s="0" t="s">
        <v>46</v>
      </c>
      <c r="N346" s="0" t="s">
        <v>46</v>
      </c>
      <c r="O346" s="0" t="s">
        <v>46</v>
      </c>
    </row>
    <row r="347" customFormat="false" ht="15" hidden="false" customHeight="false" outlineLevel="0" collapsed="false">
      <c r="A347" s="0" t="s">
        <v>3549</v>
      </c>
      <c r="B347" s="0" t="s">
        <v>850</v>
      </c>
      <c r="C347" s="0" t="s">
        <v>851</v>
      </c>
      <c r="D347" s="0" t="s">
        <v>46</v>
      </c>
      <c r="E347" s="0" t="s">
        <v>46</v>
      </c>
      <c r="F347" s="0" t="s">
        <v>46</v>
      </c>
      <c r="G347" s="0" t="s">
        <v>3550</v>
      </c>
      <c r="H347" s="0" t="s">
        <v>3551</v>
      </c>
      <c r="I347" s="0" t="s">
        <v>46</v>
      </c>
      <c r="J347" s="0" t="s">
        <v>46</v>
      </c>
      <c r="K347" s="0" t="s">
        <v>46</v>
      </c>
      <c r="L347" s="0" t="s">
        <v>46</v>
      </c>
      <c r="M347" s="0" t="s">
        <v>46</v>
      </c>
      <c r="N347" s="0" t="s">
        <v>46</v>
      </c>
      <c r="O347" s="0" t="s">
        <v>46</v>
      </c>
    </row>
    <row r="348" customFormat="false" ht="15" hidden="false" customHeight="false" outlineLevel="0" collapsed="false">
      <c r="A348" s="0" t="s">
        <v>3552</v>
      </c>
      <c r="B348" s="0" t="s">
        <v>2130</v>
      </c>
      <c r="C348" s="0" t="s">
        <v>2131</v>
      </c>
      <c r="D348" s="0" t="s">
        <v>46</v>
      </c>
      <c r="E348" s="0" t="s">
        <v>46</v>
      </c>
      <c r="F348" s="0" t="s">
        <v>46</v>
      </c>
      <c r="G348" s="0" t="s">
        <v>3553</v>
      </c>
      <c r="H348" s="0" t="s">
        <v>3554</v>
      </c>
      <c r="I348" s="0" t="s">
        <v>46</v>
      </c>
      <c r="J348" s="0" t="s">
        <v>46</v>
      </c>
      <c r="K348" s="0" t="s">
        <v>46</v>
      </c>
      <c r="L348" s="0" t="s">
        <v>46</v>
      </c>
      <c r="M348" s="0" t="s">
        <v>46</v>
      </c>
      <c r="N348" s="0" t="s">
        <v>46</v>
      </c>
      <c r="O348" s="0" t="s">
        <v>46</v>
      </c>
    </row>
    <row r="349" customFormat="false" ht="15" hidden="false" customHeight="false" outlineLevel="0" collapsed="false">
      <c r="A349" s="0" t="s">
        <v>3555</v>
      </c>
      <c r="B349" s="0" t="s">
        <v>1707</v>
      </c>
      <c r="C349" s="0" t="s">
        <v>1708</v>
      </c>
      <c r="D349" s="0" t="s">
        <v>1709</v>
      </c>
      <c r="E349" s="0" t="s">
        <v>46</v>
      </c>
      <c r="F349" s="0" t="s">
        <v>3556</v>
      </c>
      <c r="G349" s="0" t="s">
        <v>3557</v>
      </c>
      <c r="H349" s="0" t="s">
        <v>3558</v>
      </c>
      <c r="I349" s="0" t="s">
        <v>46</v>
      </c>
      <c r="J349" s="0" t="s">
        <v>46</v>
      </c>
      <c r="K349" s="0" t="s">
        <v>46</v>
      </c>
      <c r="L349" s="0" t="s">
        <v>46</v>
      </c>
      <c r="M349" s="0" t="s">
        <v>46</v>
      </c>
      <c r="N349" s="0" t="s">
        <v>46</v>
      </c>
      <c r="O349" s="0" t="s">
        <v>46</v>
      </c>
    </row>
    <row r="350" customFormat="false" ht="15" hidden="false" customHeight="false" outlineLevel="0" collapsed="false">
      <c r="A350" s="0" t="s">
        <v>3559</v>
      </c>
      <c r="B350" s="0" t="s">
        <v>978</v>
      </c>
      <c r="C350" s="0" t="s">
        <v>979</v>
      </c>
      <c r="D350" s="0" t="s">
        <v>46</v>
      </c>
      <c r="E350" s="0" t="s">
        <v>46</v>
      </c>
      <c r="F350" s="0" t="s">
        <v>3560</v>
      </c>
      <c r="G350" s="0" t="s">
        <v>3561</v>
      </c>
      <c r="H350" s="0" t="s">
        <v>46</v>
      </c>
      <c r="I350" s="0" t="s">
        <v>46</v>
      </c>
      <c r="J350" s="0" t="s">
        <v>46</v>
      </c>
      <c r="K350" s="0" t="s">
        <v>46</v>
      </c>
      <c r="L350" s="0" t="s">
        <v>46</v>
      </c>
      <c r="M350" s="0" t="s">
        <v>46</v>
      </c>
      <c r="N350" s="0" t="s">
        <v>46</v>
      </c>
      <c r="O350" s="0" t="s">
        <v>46</v>
      </c>
    </row>
    <row r="351" customFormat="false" ht="15" hidden="false" customHeight="false" outlineLevel="0" collapsed="false">
      <c r="A351" s="0" t="s">
        <v>3562</v>
      </c>
      <c r="B351" s="0" t="s">
        <v>1816</v>
      </c>
      <c r="C351" s="0" t="s">
        <v>1817</v>
      </c>
      <c r="D351" s="0" t="s">
        <v>46</v>
      </c>
      <c r="E351" s="0" t="s">
        <v>46</v>
      </c>
      <c r="F351" s="0" t="s">
        <v>46</v>
      </c>
      <c r="G351" s="0" t="s">
        <v>3563</v>
      </c>
      <c r="H351" s="0" t="s">
        <v>3564</v>
      </c>
      <c r="I351" s="0" t="s">
        <v>46</v>
      </c>
      <c r="J351" s="0" t="s">
        <v>46</v>
      </c>
      <c r="K351" s="0" t="s">
        <v>46</v>
      </c>
      <c r="L351" s="0" t="s">
        <v>46</v>
      </c>
      <c r="M351" s="0" t="s">
        <v>46</v>
      </c>
      <c r="N351" s="0" t="s">
        <v>46</v>
      </c>
      <c r="O351" s="0" t="s">
        <v>46</v>
      </c>
    </row>
    <row r="352" customFormat="false" ht="15" hidden="false" customHeight="false" outlineLevel="0" collapsed="false">
      <c r="A352" s="0" t="s">
        <v>3565</v>
      </c>
      <c r="B352" s="0" t="s">
        <v>46</v>
      </c>
      <c r="C352" s="0" t="s">
        <v>3566</v>
      </c>
      <c r="D352" s="0" t="s">
        <v>46</v>
      </c>
      <c r="E352" s="0" t="s">
        <v>46</v>
      </c>
      <c r="F352" s="0" t="s">
        <v>46</v>
      </c>
      <c r="G352" s="0" t="s">
        <v>46</v>
      </c>
      <c r="H352" s="0" t="s">
        <v>46</v>
      </c>
      <c r="I352" s="0" t="s">
        <v>46</v>
      </c>
      <c r="J352" s="0" t="s">
        <v>46</v>
      </c>
      <c r="K352" s="0" t="s">
        <v>46</v>
      </c>
      <c r="L352" s="0" t="s">
        <v>46</v>
      </c>
      <c r="M352" s="0" t="s">
        <v>46</v>
      </c>
      <c r="N352" s="0" t="s">
        <v>46</v>
      </c>
      <c r="O352" s="0" t="s">
        <v>46</v>
      </c>
    </row>
    <row r="353" customFormat="false" ht="15" hidden="false" customHeight="false" outlineLevel="0" collapsed="false">
      <c r="A353" s="0" t="s">
        <v>3567</v>
      </c>
      <c r="B353" s="0" t="s">
        <v>1188</v>
      </c>
      <c r="C353" s="0" t="s">
        <v>1189</v>
      </c>
      <c r="D353" s="0" t="s">
        <v>1190</v>
      </c>
      <c r="E353" s="0" t="s">
        <v>46</v>
      </c>
      <c r="F353" s="0" t="s">
        <v>3568</v>
      </c>
      <c r="G353" s="0" t="s">
        <v>3569</v>
      </c>
      <c r="H353" s="0" t="s">
        <v>46</v>
      </c>
      <c r="I353" s="0" t="s">
        <v>46</v>
      </c>
      <c r="J353" s="0" t="s">
        <v>46</v>
      </c>
      <c r="K353" s="0" t="s">
        <v>46</v>
      </c>
      <c r="L353" s="0" t="s">
        <v>46</v>
      </c>
      <c r="M353" s="0" t="s">
        <v>46</v>
      </c>
      <c r="N353" s="0" t="s">
        <v>46</v>
      </c>
      <c r="O353" s="0" t="s">
        <v>46</v>
      </c>
    </row>
    <row r="354" customFormat="false" ht="15" hidden="false" customHeight="false" outlineLevel="0" collapsed="false">
      <c r="A354" s="0" t="s">
        <v>3570</v>
      </c>
      <c r="B354" s="0" t="s">
        <v>2072</v>
      </c>
      <c r="C354" s="0" t="s">
        <v>3571</v>
      </c>
      <c r="D354" s="0" t="s">
        <v>2074</v>
      </c>
      <c r="E354" s="0" t="s">
        <v>46</v>
      </c>
      <c r="F354" s="0" t="s">
        <v>3572</v>
      </c>
      <c r="G354" s="0" t="s">
        <v>46</v>
      </c>
      <c r="H354" s="0" t="s">
        <v>46</v>
      </c>
      <c r="I354" s="0" t="s">
        <v>46</v>
      </c>
      <c r="J354" s="0" t="s">
        <v>46</v>
      </c>
      <c r="K354" s="0" t="s">
        <v>46</v>
      </c>
      <c r="L354" s="0" t="s">
        <v>46</v>
      </c>
      <c r="M354" s="0" t="s">
        <v>46</v>
      </c>
      <c r="N354" s="0" t="s">
        <v>46</v>
      </c>
      <c r="O354" s="0" t="s">
        <v>46</v>
      </c>
    </row>
    <row r="355" customFormat="false" ht="15" hidden="false" customHeight="false" outlineLevel="0" collapsed="false">
      <c r="A355" s="0" t="s">
        <v>3573</v>
      </c>
      <c r="B355" s="0" t="s">
        <v>46</v>
      </c>
      <c r="C355" s="0" t="s">
        <v>3574</v>
      </c>
      <c r="D355" s="0" t="s">
        <v>46</v>
      </c>
      <c r="E355" s="0" t="s">
        <v>46</v>
      </c>
      <c r="F355" s="0" t="s">
        <v>46</v>
      </c>
      <c r="G355" s="0" t="s">
        <v>46</v>
      </c>
      <c r="H355" s="0" t="s">
        <v>46</v>
      </c>
      <c r="I355" s="0" t="s">
        <v>46</v>
      </c>
      <c r="J355" s="0" t="s">
        <v>46</v>
      </c>
      <c r="K355" s="0" t="s">
        <v>46</v>
      </c>
      <c r="L355" s="0" t="s">
        <v>46</v>
      </c>
      <c r="M355" s="0" t="s">
        <v>46</v>
      </c>
      <c r="N355" s="0" t="s">
        <v>46</v>
      </c>
      <c r="O355" s="0" t="s">
        <v>46</v>
      </c>
    </row>
    <row r="356" customFormat="false" ht="15" hidden="false" customHeight="false" outlineLevel="0" collapsed="false">
      <c r="A356" s="0" t="s">
        <v>3575</v>
      </c>
      <c r="B356" s="0" t="s">
        <v>1845</v>
      </c>
      <c r="C356" s="0" t="s">
        <v>1846</v>
      </c>
      <c r="D356" s="0" t="s">
        <v>1847</v>
      </c>
      <c r="E356" s="0" t="s">
        <v>46</v>
      </c>
      <c r="F356" s="0" t="s">
        <v>46</v>
      </c>
      <c r="G356" s="0" t="s">
        <v>46</v>
      </c>
      <c r="H356" s="0" t="s">
        <v>46</v>
      </c>
      <c r="I356" s="0" t="s">
        <v>46</v>
      </c>
      <c r="J356" s="0" t="s">
        <v>46</v>
      </c>
      <c r="K356" s="0" t="s">
        <v>46</v>
      </c>
      <c r="L356" s="0" t="s">
        <v>46</v>
      </c>
      <c r="M356" s="0" t="s">
        <v>46</v>
      </c>
      <c r="N356" s="0" t="s">
        <v>46</v>
      </c>
      <c r="O356" s="0" t="s">
        <v>46</v>
      </c>
    </row>
    <row r="357" customFormat="false" ht="15" hidden="false" customHeight="false" outlineLevel="0" collapsed="false">
      <c r="A357" s="0" t="s">
        <v>3576</v>
      </c>
      <c r="B357" s="0" t="s">
        <v>46</v>
      </c>
      <c r="C357" s="0" t="s">
        <v>3577</v>
      </c>
      <c r="D357" s="0" t="s">
        <v>46</v>
      </c>
      <c r="E357" s="0" t="s">
        <v>46</v>
      </c>
      <c r="F357" s="0" t="s">
        <v>46</v>
      </c>
      <c r="G357" s="0" t="s">
        <v>46</v>
      </c>
      <c r="H357" s="0" t="s">
        <v>46</v>
      </c>
      <c r="I357" s="0" t="s">
        <v>46</v>
      </c>
      <c r="J357" s="0" t="s">
        <v>46</v>
      </c>
      <c r="K357" s="0" t="s">
        <v>46</v>
      </c>
      <c r="L357" s="0" t="s">
        <v>46</v>
      </c>
      <c r="M357" s="0" t="s">
        <v>46</v>
      </c>
      <c r="N357" s="0" t="s">
        <v>46</v>
      </c>
      <c r="O357" s="0" t="s">
        <v>46</v>
      </c>
    </row>
    <row r="358" customFormat="false" ht="15" hidden="false" customHeight="false" outlineLevel="0" collapsed="false">
      <c r="A358" s="0" t="s">
        <v>3578</v>
      </c>
      <c r="B358" s="0" t="s">
        <v>46</v>
      </c>
      <c r="C358" s="0" t="s">
        <v>1811</v>
      </c>
      <c r="D358" s="0" t="s">
        <v>1812</v>
      </c>
      <c r="E358" s="0" t="s">
        <v>46</v>
      </c>
      <c r="F358" s="0" t="s">
        <v>46</v>
      </c>
      <c r="G358" s="0" t="s">
        <v>3579</v>
      </c>
      <c r="H358" s="0" t="s">
        <v>3580</v>
      </c>
      <c r="I358" s="0" t="s">
        <v>46</v>
      </c>
      <c r="J358" s="0" t="s">
        <v>46</v>
      </c>
      <c r="K358" s="0" t="s">
        <v>46</v>
      </c>
      <c r="L358" s="0" t="s">
        <v>46</v>
      </c>
      <c r="M358" s="0" t="s">
        <v>46</v>
      </c>
      <c r="N358" s="0" t="s">
        <v>46</v>
      </c>
      <c r="O358" s="0" t="s">
        <v>46</v>
      </c>
    </row>
    <row r="359" customFormat="false" ht="15" hidden="false" customHeight="false" outlineLevel="0" collapsed="false">
      <c r="A359" s="0" t="s">
        <v>3581</v>
      </c>
      <c r="B359" s="0" t="s">
        <v>758</v>
      </c>
      <c r="C359" s="0" t="s">
        <v>759</v>
      </c>
      <c r="D359" s="0" t="s">
        <v>760</v>
      </c>
      <c r="E359" s="0" t="s">
        <v>46</v>
      </c>
      <c r="F359" s="0" t="s">
        <v>3582</v>
      </c>
      <c r="G359" s="0" t="s">
        <v>3583</v>
      </c>
      <c r="H359" s="0" t="s">
        <v>3584</v>
      </c>
      <c r="I359" s="0" t="s">
        <v>46</v>
      </c>
      <c r="J359" s="0" t="s">
        <v>46</v>
      </c>
      <c r="K359" s="0" t="s">
        <v>46</v>
      </c>
      <c r="L359" s="0" t="s">
        <v>46</v>
      </c>
      <c r="M359" s="0" t="s">
        <v>46</v>
      </c>
      <c r="N359" s="0" t="s">
        <v>46</v>
      </c>
      <c r="O359" s="0" t="s">
        <v>46</v>
      </c>
    </row>
    <row r="360" customFormat="false" ht="15" hidden="false" customHeight="false" outlineLevel="0" collapsed="false">
      <c r="A360" s="0" t="s">
        <v>3585</v>
      </c>
      <c r="B360" s="0" t="s">
        <v>46</v>
      </c>
      <c r="C360" s="0" t="s">
        <v>276</v>
      </c>
      <c r="D360" s="0" t="s">
        <v>46</v>
      </c>
      <c r="E360" s="0" t="s">
        <v>46</v>
      </c>
      <c r="F360" s="0" t="s">
        <v>46</v>
      </c>
      <c r="G360" s="0" t="s">
        <v>46</v>
      </c>
      <c r="H360" s="0" t="s">
        <v>46</v>
      </c>
      <c r="I360" s="0" t="s">
        <v>46</v>
      </c>
      <c r="J360" s="0" t="s">
        <v>46</v>
      </c>
      <c r="K360" s="0" t="s">
        <v>46</v>
      </c>
      <c r="L360" s="0" t="s">
        <v>46</v>
      </c>
      <c r="M360" s="0" t="s">
        <v>46</v>
      </c>
      <c r="N360" s="0" t="s">
        <v>46</v>
      </c>
      <c r="O360" s="0" t="s">
        <v>46</v>
      </c>
    </row>
    <row r="361" customFormat="false" ht="15" hidden="false" customHeight="false" outlineLevel="0" collapsed="false">
      <c r="A361" s="0" t="s">
        <v>3586</v>
      </c>
      <c r="B361" s="0" t="s">
        <v>2425</v>
      </c>
      <c r="C361" s="0" t="s">
        <v>2426</v>
      </c>
      <c r="D361" s="0" t="s">
        <v>2427</v>
      </c>
      <c r="E361" s="0" t="s">
        <v>46</v>
      </c>
      <c r="F361" s="0" t="s">
        <v>3587</v>
      </c>
      <c r="G361" s="0" t="s">
        <v>46</v>
      </c>
      <c r="H361" s="0" t="s">
        <v>46</v>
      </c>
      <c r="I361" s="0" t="s">
        <v>46</v>
      </c>
      <c r="J361" s="0" t="s">
        <v>46</v>
      </c>
      <c r="K361" s="0" t="s">
        <v>46</v>
      </c>
      <c r="L361" s="0" t="s">
        <v>46</v>
      </c>
      <c r="M361" s="0" t="s">
        <v>46</v>
      </c>
      <c r="N361" s="0" t="s">
        <v>46</v>
      </c>
      <c r="O361" s="0" t="s">
        <v>46</v>
      </c>
    </row>
    <row r="362" customFormat="false" ht="15" hidden="false" customHeight="false" outlineLevel="0" collapsed="false">
      <c r="A362" s="0" t="s">
        <v>3588</v>
      </c>
      <c r="B362" s="0" t="s">
        <v>2084</v>
      </c>
      <c r="C362" s="0" t="s">
        <v>2085</v>
      </c>
      <c r="D362" s="0" t="s">
        <v>46</v>
      </c>
      <c r="E362" s="0" t="s">
        <v>46</v>
      </c>
      <c r="F362" s="0" t="s">
        <v>3589</v>
      </c>
      <c r="G362" s="0" t="s">
        <v>46</v>
      </c>
      <c r="H362" s="0" t="s">
        <v>46</v>
      </c>
      <c r="I362" s="0" t="s">
        <v>46</v>
      </c>
      <c r="J362" s="0" t="s">
        <v>46</v>
      </c>
      <c r="K362" s="0" t="s">
        <v>46</v>
      </c>
      <c r="L362" s="0" t="s">
        <v>46</v>
      </c>
      <c r="M362" s="0" t="s">
        <v>46</v>
      </c>
      <c r="N362" s="0" t="s">
        <v>46</v>
      </c>
      <c r="O362" s="0" t="s">
        <v>46</v>
      </c>
    </row>
    <row r="363" customFormat="false" ht="15" hidden="false" customHeight="false" outlineLevel="0" collapsed="false">
      <c r="A363" s="0" t="s">
        <v>3590</v>
      </c>
      <c r="B363" s="0" t="s">
        <v>1459</v>
      </c>
      <c r="C363" s="0" t="s">
        <v>1460</v>
      </c>
      <c r="D363" s="0" t="s">
        <v>46</v>
      </c>
      <c r="E363" s="0" t="s">
        <v>46</v>
      </c>
      <c r="F363" s="0" t="s">
        <v>46</v>
      </c>
      <c r="G363" s="0" t="s">
        <v>3591</v>
      </c>
      <c r="H363" s="0" t="s">
        <v>3592</v>
      </c>
      <c r="I363" s="0" t="s">
        <v>46</v>
      </c>
      <c r="J363" s="0" t="s">
        <v>46</v>
      </c>
      <c r="K363" s="0" t="s">
        <v>46</v>
      </c>
      <c r="L363" s="0" t="s">
        <v>46</v>
      </c>
      <c r="M363" s="0" t="s">
        <v>46</v>
      </c>
      <c r="N363" s="0" t="s">
        <v>46</v>
      </c>
      <c r="O363" s="0" t="s">
        <v>46</v>
      </c>
    </row>
    <row r="364" customFormat="false" ht="15" hidden="false" customHeight="false" outlineLevel="0" collapsed="false">
      <c r="A364" s="0" t="s">
        <v>3593</v>
      </c>
      <c r="B364" s="0" t="s">
        <v>1448</v>
      </c>
      <c r="C364" s="0" t="s">
        <v>1449</v>
      </c>
      <c r="D364" s="0" t="s">
        <v>428</v>
      </c>
      <c r="E364" s="0" t="s">
        <v>46</v>
      </c>
      <c r="F364" s="0" t="s">
        <v>46</v>
      </c>
      <c r="G364" s="0" t="s">
        <v>3594</v>
      </c>
      <c r="H364" s="0" t="s">
        <v>3595</v>
      </c>
      <c r="I364" s="0" t="s">
        <v>46</v>
      </c>
      <c r="J364" s="0" t="s">
        <v>46</v>
      </c>
      <c r="K364" s="0" t="s">
        <v>46</v>
      </c>
      <c r="L364" s="0" t="s">
        <v>46</v>
      </c>
      <c r="M364" s="0" t="s">
        <v>46</v>
      </c>
      <c r="N364" s="0" t="s">
        <v>46</v>
      </c>
      <c r="O364" s="0" t="s">
        <v>46</v>
      </c>
    </row>
    <row r="365" customFormat="false" ht="15" hidden="false" customHeight="false" outlineLevel="0" collapsed="false">
      <c r="A365" s="0" t="s">
        <v>3596</v>
      </c>
      <c r="B365" s="0" t="s">
        <v>426</v>
      </c>
      <c r="C365" s="0" t="s">
        <v>427</v>
      </c>
      <c r="D365" s="0" t="s">
        <v>428</v>
      </c>
      <c r="E365" s="0" t="s">
        <v>46</v>
      </c>
      <c r="F365" s="0" t="s">
        <v>3597</v>
      </c>
      <c r="G365" s="0" t="s">
        <v>3598</v>
      </c>
      <c r="H365" s="0" t="s">
        <v>3599</v>
      </c>
      <c r="I365" s="0" t="s">
        <v>46</v>
      </c>
      <c r="J365" s="0" t="s">
        <v>46</v>
      </c>
      <c r="K365" s="0" t="s">
        <v>46</v>
      </c>
      <c r="L365" s="0" t="s">
        <v>46</v>
      </c>
      <c r="M365" s="0" t="s">
        <v>46</v>
      </c>
      <c r="N365" s="0" t="s">
        <v>46</v>
      </c>
      <c r="O365" s="0" t="s">
        <v>46</v>
      </c>
    </row>
    <row r="366" customFormat="false" ht="15" hidden="false" customHeight="false" outlineLevel="0" collapsed="false">
      <c r="A366" s="0" t="s">
        <v>3600</v>
      </c>
      <c r="B366" s="0" t="s">
        <v>1475</v>
      </c>
      <c r="C366" s="0" t="s">
        <v>1476</v>
      </c>
      <c r="D366" s="0" t="s">
        <v>428</v>
      </c>
      <c r="E366" s="0" t="s">
        <v>46</v>
      </c>
      <c r="F366" s="0" t="s">
        <v>46</v>
      </c>
      <c r="G366" s="0" t="s">
        <v>46</v>
      </c>
      <c r="H366" s="0" t="s">
        <v>46</v>
      </c>
      <c r="I366" s="0" t="s">
        <v>46</v>
      </c>
      <c r="J366" s="0" t="s">
        <v>46</v>
      </c>
      <c r="K366" s="0" t="s">
        <v>46</v>
      </c>
      <c r="L366" s="0" t="s">
        <v>46</v>
      </c>
      <c r="M366" s="0" t="s">
        <v>46</v>
      </c>
      <c r="N366" s="0" t="s">
        <v>46</v>
      </c>
      <c r="O366" s="0" t="s">
        <v>46</v>
      </c>
    </row>
    <row r="367" customFormat="false" ht="15" hidden="false" customHeight="false" outlineLevel="0" collapsed="false">
      <c r="A367" s="0" t="s">
        <v>3601</v>
      </c>
      <c r="B367" s="0" t="s">
        <v>1416</v>
      </c>
      <c r="C367" s="0" t="s">
        <v>1417</v>
      </c>
      <c r="D367" s="0" t="s">
        <v>428</v>
      </c>
      <c r="E367" s="0" t="s">
        <v>46</v>
      </c>
      <c r="F367" s="0" t="s">
        <v>46</v>
      </c>
      <c r="G367" s="0" t="s">
        <v>46</v>
      </c>
      <c r="H367" s="0" t="s">
        <v>46</v>
      </c>
      <c r="I367" s="0" t="s">
        <v>46</v>
      </c>
      <c r="J367" s="0" t="s">
        <v>46</v>
      </c>
      <c r="K367" s="0" t="s">
        <v>46</v>
      </c>
      <c r="L367" s="0" t="s">
        <v>46</v>
      </c>
      <c r="M367" s="0" t="s">
        <v>46</v>
      </c>
      <c r="N367" s="0" t="s">
        <v>46</v>
      </c>
      <c r="O367" s="0" t="s">
        <v>46</v>
      </c>
    </row>
    <row r="368" customFormat="false" ht="15" hidden="false" customHeight="false" outlineLevel="0" collapsed="false">
      <c r="A368" s="0" t="s">
        <v>3602</v>
      </c>
      <c r="B368" s="0" t="s">
        <v>1469</v>
      </c>
      <c r="C368" s="0" t="s">
        <v>1470</v>
      </c>
      <c r="D368" s="0" t="s">
        <v>1471</v>
      </c>
      <c r="E368" s="0" t="s">
        <v>46</v>
      </c>
      <c r="F368" s="0" t="s">
        <v>46</v>
      </c>
      <c r="G368" s="0" t="s">
        <v>3603</v>
      </c>
      <c r="H368" s="0" t="s">
        <v>46</v>
      </c>
      <c r="I368" s="0" t="s">
        <v>46</v>
      </c>
      <c r="J368" s="0" t="s">
        <v>46</v>
      </c>
      <c r="K368" s="0" t="s">
        <v>46</v>
      </c>
      <c r="L368" s="0" t="s">
        <v>46</v>
      </c>
      <c r="M368" s="0" t="s">
        <v>46</v>
      </c>
      <c r="N368" s="0" t="s">
        <v>46</v>
      </c>
      <c r="O368" s="0" t="s">
        <v>46</v>
      </c>
    </row>
  </sheetData>
  <printOptions headings="false" gridLines="false" gridLinesSet="true" horizontalCentered="false" verticalCentered="false"/>
  <pageMargins left="0.75" right="0.75" top="1" bottom="1"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24</TotalTime>
  <Application>LibreOffice/7.3.4.2$Linux_X86_64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2022-07-30T07:03:23Z</dcterms:created>
  <dc:creator>openpyxl</dc:creator>
  <dc:description/>
  <dc:language>en-US</dc:language>
  <cp:lastModifiedBy/>
  <dcterms:modified xsi:type="dcterms:W3CDTF">2022-08-03T19:14:12Z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