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Variants" sheetId="1" state="visible" r:id="rId2"/>
    <sheet name="Genes" sheetId="2" state="visible" r:id="rId3"/>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<sst xmlns="http://schemas.openxmlformats.org/spreadsheetml/2006/main" count="13955" uniqueCount="3062">
  <si>
    <t xml:space="preserve">Comment</t>
  </si>
  <si>
    <t xml:space="preserve">UCSC</t>
  </si>
  <si>
    <t xml:space="preserve">Chr</t>
  </si>
  <si>
    <t xml:space="preserve">Start</t>
  </si>
  <si>
    <t xml:space="preserve">End</t>
  </si>
  <si>
    <t xml:space="preserve">Ref</t>
  </si>
  <si>
    <t xml:space="preserve">Alt</t>
  </si>
  <si>
    <t xml:space="preserve">VCF.QUAL</t>
  </si>
  <si>
    <t xml:space="preserve">VCF.DP</t>
  </si>
  <si>
    <t xml:space="preserve">VCF.AD</t>
  </si>
  <si>
    <t xml:space="preserve">HGMD</t>
  </si>
  <si>
    <t xml:space="preserve">avsnp150</t>
  </si>
  <si>
    <t xml:space="preserve">AnnoFit.GeneName</t>
  </si>
  <si>
    <t xml:space="preserve">AnnoFit.Func</t>
  </si>
  <si>
    <t xml:space="preserve">AnnoFit.ExonicFunc</t>
  </si>
  <si>
    <t xml:space="preserve">AnnoFit.Details</t>
  </si>
  <si>
    <t xml:space="preserve">AnnoFit.PopFreqMax</t>
  </si>
  <si>
    <t xml:space="preserve">non_topmed_AF_popmax</t>
  </si>
  <si>
    <t xml:space="preserve">non_neuro_AF_popmax</t>
  </si>
  <si>
    <t xml:space="preserve">non_cancer_AF_popmax</t>
  </si>
  <si>
    <t xml:space="preserve">controls_AF_popmax</t>
  </si>
  <si>
    <t xml:space="preserve">AnnoFit.ExonPred</t>
  </si>
  <si>
    <t xml:space="preserve">AnnoFit.SplicePred</t>
  </si>
  <si>
    <t xml:space="preserve">regsnp_disease</t>
  </si>
  <si>
    <t xml:space="preserve">regsnp_splicing_site</t>
  </si>
  <si>
    <t xml:space="preserve">AnnoFit.Conservation</t>
  </si>
  <si>
    <t xml:space="preserve">InterVar_automated</t>
  </si>
  <si>
    <t xml:space="preserve">CLNSIG</t>
  </si>
  <si>
    <t xml:space="preserve">VCF.GT</t>
  </si>
  <si>
    <t xml:space="preserve">Annofit.Compound</t>
  </si>
  <si>
    <t xml:space="preserve">pLi</t>
  </si>
  <si>
    <t xml:space="preserve">Gene_full_name</t>
  </si>
  <si>
    <t xml:space="preserve">Function_description</t>
  </si>
  <si>
    <t xml:space="preserve">Disease_description</t>
  </si>
  <si>
    <t xml:space="preserve">GIAB_Problems</t>
  </si>
  <si>
    <t xml:space="preserve">ENCODE_Blacklist</t>
  </si>
  <si>
    <t xml:space="preserve">UCSC_UnusualRegions</t>
  </si>
  <si>
    <t xml:space="preserve">NCBI_Problems</t>
  </si>
  <si>
    <t xml:space="preserve">chr19</t>
  </si>
  <si>
    <t xml:space="preserve">T</t>
  </si>
  <si>
    <t xml:space="preserve">C</t>
  </si>
  <si>
    <t xml:space="preserve">1047.64</t>
  </si>
  <si>
    <t xml:space="preserve">100</t>
  </si>
  <si>
    <t xml:space="preserve">49,51</t>
  </si>
  <si>
    <t xml:space="preserve">CS134303</t>
  </si>
  <si>
    <t xml:space="preserve">splicing</t>
  </si>
  <si>
    <t xml:space="preserve">.</t>
  </si>
  <si>
    <t xml:space="preserve">NM_001005851:exon3:c.10-2A&gt;G;uc002omv.3:exon4:UTR5;uc002omu.3:exon3:c.10-2A&gt;G;ENST00000434248:exon3:c.10-2A&gt;G;ENST00000221355:exon4:UTR5;ENST00000595995:exon3:c.10-2A&gt;G;ENST00000598845:exon3:c.10-2A&gt;G;ENST00000593605:exon4:c.10-2A&gt;G</t>
  </si>
  <si>
    <t xml:space="preserve">2/2</t>
  </si>
  <si>
    <t xml:space="preserve">D</t>
  </si>
  <si>
    <t xml:space="preserve">on</t>
  </si>
  <si>
    <t xml:space="preserve">1/7</t>
  </si>
  <si>
    <t xml:space="preserve">0/1</t>
  </si>
  <si>
    <t xml:space="preserve">1</t>
  </si>
  <si>
    <t xml:space="preserve">3.89667579331898e-13</t>
  </si>
  <si>
    <t xml:space="preserve">zinc finger protein 780B</t>
  </si>
  <si>
    <t xml:space="preserve">FUNCTION: May be involved in transcriptional regulation. {ECO:0000250}.; </t>
  </si>
  <si>
    <t xml:space="preserve">chr7</t>
  </si>
  <si>
    <t xml:space="preserve">G</t>
  </si>
  <si>
    <t xml:space="preserve">2364.64</t>
  </si>
  <si>
    <t xml:space="preserve">231</t>
  </si>
  <si>
    <t xml:space="preserve">116,115</t>
  </si>
  <si>
    <t xml:space="preserve">CS130593</t>
  </si>
  <si>
    <t xml:space="preserve">intronic</t>
  </si>
  <si>
    <t xml:space="preserve">off</t>
  </si>
  <si>
    <t xml:space="preserve">Benign/Likely_benign</t>
  </si>
  <si>
    <t xml:space="preserve">0.999994739435503</t>
  </si>
  <si>
    <t xml:space="preserve">GLI family zinc finger 3</t>
  </si>
  <si>
    <t xml:space="preserve">FUNCTION: Has a dual function as a transcriptional activator and a repressor of the sonic hedgehog (Shh) pathway, and plays a role in limb development. The full-length GLI3 form (GLI3FL) after phosphorylation and nuclear translocation, acts as an activator (GLI3A) while GLI3R, its C-terminally truncated form, acts as a repressor. A proper balance between the GLI3 activator and the repressor GLI3R, rather than the repressor gradient itself or the activator/repressor ratio gradient, specifies limb digit number and identity. In concert with TRPS1, plays a role in regulating the size of the zone of distal chondrocytes, in restricting the zone of PTHLH expression in distal cells and in activating chondrocyte proliferation. Binds to the minimal GLI-consensus sequence 5'-GGGTGGTC-3'. {ECO:0000269|PubMed:10693759, ECO:0000269|PubMed:11238441, ECO:0000269|PubMed:17764085}.; </t>
  </si>
  <si>
    <t xml:space="preserve">DISEASE: Greig cephalo-poly-syndactyly syndrome (GCPS) [MIM:175700]: Autosomal dominant disorder affecting limb and craniofacial development. It is characterized by pre- and postaxial polydactyly, syndactyly of fingers and toes, macrocephaly and hypertelorism. {ECO:0000269|PubMed:10441342, ECO:0000269|PubMed:12414818, ECO:0000269|PubMed:12794692, ECO:0000269|PubMed:9302279}. Note=The disease is caused by mutations affecting the gene represented in this entry.; DISEASE: Pallister-Hall syndrome (PHS) [MIM:146510]: An autosomal dominant disorder characterized by a wide range of clinical manifestations. Clinical features include hypothalamic hamartoma, pituitary dysfunction, central or postaxial polydactyly, and syndactyly. Malformations are frequent in the viscera, e.g. anal atresia, bifid uvula, congenital heart malformations, pulmonary or renal dysplasia. {ECO:0000269|PubMed:10441570}. Note=The disease is caused by mutations affecting the gene represented in this entry.; DISEASE: Polydactyly, postaxial A1 (PAPA1) [MIM:174200]: A condition characterized by the occurrence of supernumerary digits in the upper and/or lower extremities. In postaxial polydactyly type A, the extra digit is well-formed and articulates with the fifth or a sixth metacarpal/metatarsal. {ECO:0000269|PubMed:10441570}. Note=The disease is caused by mutations affecting the gene represented in this entry.; DISEASE: Polydactyly, postaxial B (PAPB) [MIM:174200]: A condition characterized by an extra digit in the occurrence of supernumerary digits in the upper and/or lower extremities. In postaxial polydactyly type B the extra digit is not well formed and is frequently in the form of a skin. {ECO:0000269|PubMed:10441570}. Note=The disease is caused by mutations affecting the gene represented in this entry.; DISEASE: Polydactyly preaxial 4 (POP4) [MIM:174700]: Preaxial polydactyly (i.e., polydactyly on the radial/tibial side of the hand/foot) covers a heterogeneous group of entities. In preaxial polydactyly type IV, the thumb shows only the mildest degree of duplication, and syndactyly of various degrees affects fingers 3 and 4. {ECO:0000269|PubMed:10441570}. Note=The disease is caused by mutations affecting the gene represented in this entry.; </t>
  </si>
  <si>
    <t xml:space="preserve">REC</t>
  </si>
  <si>
    <t xml:space="preserve">chr1</t>
  </si>
  <si>
    <t xml:space="preserve">A</t>
  </si>
  <si>
    <t xml:space="preserve">656.64</t>
  </si>
  <si>
    <t xml:space="preserve">62</t>
  </si>
  <si>
    <t xml:space="preserve">34,28</t>
  </si>
  <si>
    <t xml:space="preserve">CM990981</t>
  </si>
  <si>
    <t xml:space="preserve">exonic</t>
  </si>
  <si>
    <t xml:space="preserve">nonsynonymous SNV</t>
  </si>
  <si>
    <t xml:space="preserve">NTRK1:NM_001012331:exon16:c.G2321A:p.R774Q,NTRK1:NM_001007792:exon17:c.G2231A:p.R744Q,NTRK1:NM_002529:exon17:c.G2339A:p.R780Q;NTRK1:uc001fqi.1:exon16:c.G2321A:p.R774Q,NTRK1:uc009wsi.1:exon16:c.G1436A:p.R479Q,NTRK1:uc009wsk.1:exon16:c.G2330A:p.R777Q,NTRK1:uc001fqf.1:exon17:c.G2231A:p.R744Q,NTRK1:uc001fqh.1:exon17:c.G2339A:p.R780Q;ENSG00000198400:ENST00000358660:exon16:c.G2330A:p.R777Q,ENSG00000198400:ENST00000368196:exon16:c.G2321A:p.R774Q,ENSG00000198400:ENST00000392302:exon17:c.G2231A:p.R744Q,ENSG00000198400:ENST00000524377:exon17:c.G2339A:p.R780Q</t>
  </si>
  <si>
    <t xml:space="preserve">3/10</t>
  </si>
  <si>
    <t xml:space="preserve">Benign</t>
  </si>
  <si>
    <t xml:space="preserve">0.000424899217244118</t>
  </si>
  <si>
    <t xml:space="preserve">neurotrophic tyrosine kinase, receptor, type 1</t>
  </si>
  <si>
    <t xml:space="preserve">FUNCTION: Receptor tyrosine kinase involved in the development and the maturation of the central and peripheral nervous systems through regulation of proliferation, differentiation and survival of sympathetic and nervous neurons. High affinity receptor for NGF which is its primary ligand, it can also bind and be activated by NTF3/neurotrophin-3. However, NTF3 only supports axonal extension through NTRK1 but has no effect on neuron survival. Upon dimeric NGF ligand-binding, undergoes homodimerization, autophosphorylation and activation. Recruits, phosphorylates and/or activates several downstream effectors including SHC1, FRS2, SH2B1, SH2B2 and PLCG1 that regulate distinct overlapping signaling cascades driving cell survival and differentiation. Through SHC1 and FRS2 activates a GRB2-Ras-MAPK cascade that regulates cell differentiation and survival. Through PLCG1 controls NF-Kappa-B activation and the transcription of genes involved in cell survival. Through SHC1 and SH2B1 controls a Ras- PI3 kinase-AKT1 signaling cascade that is also regulating survival. In absence of ligand and activation, may promote cell death, making the survival of neurons dependent on trophic factors.; </t>
  </si>
  <si>
    <t xml:space="preserve">DISEASE: Congenital insensitivity to pain with anhidrosis (CIPA) [MIM:256800]: Characterized by a congenital insensitivity to pain, anhidrosis (absence of sweating), absence of reaction to noxious stimuli, self-mutilating behavior, and mental retardation. This rare autosomal recessive disorder is also known as congenital sensory neuropathy with anhidrosis or hereditary sensory and autonomic neuropathy type IV or familial dysautonomia type II. {ECO:0000269|PubMed:10090906, ECO:0000269|PubMed:10233776, ECO:0000269|PubMed:10330344, ECO:0000269|PubMed:10567924, ECO:0000269|PubMed:10861667, ECO:0000269|PubMed:10982191, ECO:0000269|PubMed:11310631, ECO:0000269|PubMed:22302274, ECO:0000269|PubMed:8696348}. Note=The disease is caused by mutations affecting the gene represented in this entry.; DISEASE: Note=Chromosomal aberrations involving NTRK1 are found in papillary thyroid carcinomas (PTCs) (PubMed:2869410, PubMed:7565764, PubMed:1532241). Translocation t(1;3)(q21;q11) with TFG generates the TRKT3 (TRK-T3) transcript by fusing TFG to the 3'-end of NTRK1 (PubMed:7565764). A rearrangement with TPM3 generates the TRK transcript by fusing TPM3 to the 3'-end of NTRK1 (PubMed:2869410). An intrachromosomal rearrangement that links the protein kinase domain of NTRK1 to the 5'-end of the TPR gene forms the fusion protein TRK-T1. TRK-T1 is a 55 kDa protein reacting with antibodies against the C-terminus of the NTRK1 protein (PubMed:1532241). {ECO:0000269|PubMed:1532241, ECO:0000269|PubMed:2869410, ECO:0000269|PubMed:7565764}.; </t>
  </si>
  <si>
    <t xml:space="preserve">509.64</t>
  </si>
  <si>
    <t xml:space="preserve">87</t>
  </si>
  <si>
    <t xml:space="preserve">59,28</t>
  </si>
  <si>
    <t xml:space="preserve">CM970003;CS024003</t>
  </si>
  <si>
    <t xml:space="preserve">ABCA4:NM_000350:exon17:c.G2588C:p.G863A;ABCA4:uc010otn.1:exon16:c.G2366C:p.G789A,ABCA4:uc001dqh.3:exon17:c.G2588C:p.G863A;ENSG00000198691:ENST00000535735:exon16:c.G2366C:p.G789A,ENSG00000198691:ENST00000370225:exon17:c.G2588C:p.G863A</t>
  </si>
  <si>
    <t xml:space="preserve">7/10</t>
  </si>
  <si>
    <t xml:space="preserve">3/7</t>
  </si>
  <si>
    <t xml:space="preserve">Likely pathogenic</t>
  </si>
  <si>
    <t xml:space="preserve">2</t>
  </si>
  <si>
    <t xml:space="preserve">1.26762782980402e-28</t>
  </si>
  <si>
    <t xml:space="preserve">ATP binding cassette subfamily A member 4</t>
  </si>
  <si>
    <t xml:space="preserve">FUNCTION: In the visual cycle, acts as an inward-directed retinoid flipase, retinoid substrates imported by ABCA4 from the extracellular or intradiscal (rod) membrane surfaces to the cytoplasmic membrane surface are all-trans-retinaldehyde (ATR) and N-retinyl-phosphatidyl-ethanolamine (NR-PE). Once transported to the cytoplasmic surface, ATR is reduced to vitamin A by trans- retinol dehydrogenase (tRDH) and then transferred to the retinal pigment epithelium (RPE) where it is converted to 11-cis-retinal. May play a role in photoresponse, removing ATR/NR-PE from the extracellular photoreceptor surfaces during bleach recovery. {ECO:0000269|PubMed:10075733}.; </t>
  </si>
  <si>
    <t xml:space="preserve">DISEASE: Fundus flavimaculatus (FFM) [MIM:248200]: Autosomal recessive retinal disorder very similar to Stargardt disease. In contrast to Stargardt disease, FFM is characterized by later onset and slowly progressive course. {ECO:0000269|PubMed:11379881, ECO:0000269|PubMed:11385708, ECO:0000269|PubMed:9781034}. Note=The disease is caused by mutations affecting the gene represented in this entry.; DISEASE: Macular degeneration, age-related, 2 (ARMD2) [MIM:153800]: A form of age-related macular degeneration, a multifactorial eye disease and the most common cause of irreversible vision loss in the developed world. In most patients, the disease is manifest as ophthalmoscopically visible yellowish accumulations of protein and lipid that lie beneath the retinal pigment epithelium and within an elastin-containing structure known as Bruch membrane. {ECO:0000269|PubMed:19028736, ECO:0000269|PubMed:9295268}. Note=Disease susceptibility is associated with variations affecting the gene represented in this entry.; DISEASE: Cone-rod dystrophy 3 (CORD3) [MIM:604116]: An inherited retinal dystrophy characterized by retinal pigment deposits visible on fundus examination, predominantly in the macular region, and initial loss of cone photoreceptors followed by rod degeneration. This leads to decreased visual acuity and sensitivity in the central visual field, followed by loss of peripheral vision. Severe loss of vision occurs earlier than in retinitis pigmentosa. {ECO:0000269|PubMed:10958761, ECO:0000269|PubMed:11385708, ECO:0000269|PubMed:11527935}. Note=The disease is caused by mutations affecting the gene represented in this entry.; DISEASE: Retinitis pigmentosa 19 (RP19) [MIM:601718]: A retinal dystrophy belonging to the group of pigmentary retinopathies. Retinitis pigmentosa is characterized by retinal pigment deposits visible on fundus examination and primary loss of rod photoreceptor cells followed by secondary loss of cone photoreceptors. Patients typically have night vision blindness and loss of midperipheral visual field. As their condition progresses, they lose their far peripheral visual field and eventually central vision as well. RP19 is characterized by choroidal atrophy. Note=The disease is caused by mutations affecting the gene represented in this entry.; </t>
  </si>
  <si>
    <t xml:space="preserve">862.64</t>
  </si>
  <si>
    <t xml:space="preserve">73</t>
  </si>
  <si>
    <t xml:space="preserve">33,40</t>
  </si>
  <si>
    <t xml:space="preserve">CM962686</t>
  </si>
  <si>
    <t xml:space="preserve">KEL:NM_000420:exon13:c.A1481T:p.E494V;KEL:uc003wcb.3:exon13:c.A1481T:p.E494V;ENSG00000197993:ENST00000355265:exon13:c.A1481T:p.E494V</t>
  </si>
  <si>
    <t xml:space="preserve">0/7</t>
  </si>
  <si>
    <t xml:space="preserve">Uncertain significance</t>
  </si>
  <si>
    <t xml:space="preserve">2.00929288413252e-16</t>
  </si>
  <si>
    <t xml:space="preserve">Kell blood group, metallo-endopeptidase</t>
  </si>
  <si>
    <t xml:space="preserve">FUNCTION: Zinc endopeptidase with endothelin-3-converting enzyme activity. Cleaves EDN1, EDN2 and EDN3, with a marked preference for EDN3. {ECO:0000269|PubMed:10438732}.; </t>
  </si>
  <si>
    <t xml:space="preserve">chrX</t>
  </si>
  <si>
    <t xml:space="preserve">2907.64</t>
  </si>
  <si>
    <t xml:space="preserve">198</t>
  </si>
  <si>
    <t xml:space="preserve">82,116</t>
  </si>
  <si>
    <t xml:space="preserve">CM930335</t>
  </si>
  <si>
    <t xml:space="preserve">GLA:NM_000169:exon6:c.G937T:p.D313Y;GLA:uc004ehl.1:exon6:c.G937T:p.D313Y;ENSG00000102393:ENST00000218516:exon6:c.G937T:p.D313Y</t>
  </si>
  <si>
    <t xml:space="preserve">9/11</t>
  </si>
  <si>
    <t xml:space="preserve">0/6</t>
  </si>
  <si>
    <t xml:space="preserve">Likely benign</t>
  </si>
  <si>
    <t xml:space="preserve">Conflicting_interpretations_of_pathogenicity,_other</t>
  </si>
  <si>
    <t xml:space="preserve">0.985045990572971</t>
  </si>
  <si>
    <t xml:space="preserve">galactosidase alpha</t>
  </si>
  <si>
    <t xml:space="preserve">DISEASE: Fabry disease (FD) [MIM:301500]: Rare X-linked sphingolipidosis disease where glycolipid accumulates in many tissues. The disease consists of an inborn error of glycosphingolipid catabolism. FD patients show systemic accumulation of globotriaosylceramide (Gb3) and related glycosphingolipids in the plasma and cellular lysosomes throughout the body. Clinical recognition in males results from characteristic skin lesions (angiokeratomas) over the lower trunk. Patients may show ocular deposits, febrile episodes, and burning pain in the extremities. Death results from renal failure, cardiac or cerebral complications of hypertension or other vascular disease. Heterozygous females may exhibit the disorder in an attenuated form, they are more likely to show corneal opacities. {ECO:0000269|PubMed:10090526, ECO:0000269|PubMed:10208848, ECO:0000269|PubMed:10666480, ECO:0000269|PubMed:10916280, ECO:0000269|PubMed:11076046, ECO:0000269|PubMed:11295840, ECO:0000269|PubMed:11668641, ECO:0000269|PubMed:11889412, ECO:0000269|PubMed:12694230, ECO:0000269|PubMed:1315715, ECO:0000269|PubMed:15162124, ECO:0000269|PubMed:15712228, ECO:0000269|PubMed:16533976, ECO:0000269|PubMed:1846223, ECO:0000269|PubMed:19621417, ECO:0000269|PubMed:2152885, ECO:0000269|PubMed:2171331, ECO:0000269|PubMed:2539398, ECO:0000269|PubMed:7504405, ECO:0000269|PubMed:7531540, ECO:0000269|PubMed:7575533, ECO:0000269|PubMed:7596372, ECO:0000269|PubMed:7599642, ECO:0000269|PubMed:7759078, ECO:0000269|PubMed:8069316, ECO:0000269|PubMed:8395937, ECO:0000269|PubMed:8738659, ECO:0000269|PubMed:8807334, ECO:0000269|PubMed:8834244, ECO:0000269|PubMed:8863162, ECO:0000269|PubMed:8875188, ECO:0000269|PubMed:8931708, ECO:0000269|PubMed:9100224, ECO:0000269|PubMed:9105656, ECO:0000269|PubMed:9452068, ECO:0000269|PubMed:9452090, ECO:0000269|PubMed:9452111, ECO:0000269|PubMed:9554750}. Note=The disease is caused by mutations affecting the gene represented in this entry.; </t>
  </si>
  <si>
    <t xml:space="preserve">chr2</t>
  </si>
  <si>
    <t xml:space="preserve">1272.64</t>
  </si>
  <si>
    <t xml:space="preserve">116</t>
  </si>
  <si>
    <t xml:space="preserve">62,54</t>
  </si>
  <si>
    <t xml:space="preserve">CM141894</t>
  </si>
  <si>
    <t xml:space="preserve">APOB:NM_000384:exon19:c.C2981T:p.P994L;APOB:uc002red.3:exon19:c.C2981T:p.P994L;ENSG00000084674:ENST00000233242:exon19:c.C2981T:p.P994L</t>
  </si>
  <si>
    <t xml:space="preserve">8/11</t>
  </si>
  <si>
    <t xml:space="preserve">2/7</t>
  </si>
  <si>
    <t xml:space="preserve">Conflicting_interpretations_of_pathogenicity</t>
  </si>
  <si>
    <t xml:space="preserve">5.49085163436995e-16</t>
  </si>
  <si>
    <t xml:space="preserve">apolipoprotein B</t>
  </si>
  <si>
    <t xml:space="preserve">FUNCTION: Apolipoprotein B is a major protein constituent of chylomicrons (apo B-48), LDL (apo B-100) and VLDL (apo B-100). Apo B-100 functions as a recognition signal for the cellular binding and internalization of LDL particles by the apoB/E receptor.; </t>
  </si>
  <si>
    <t xml:space="preserve">DISEASE: Hypobetalipoproteinemia, familial, 1 (FHBL1) [MIM:615558]: A disorder of lipid metabolism characterized by less than 5th percentile age- and sex-specific levels of low density lipoproteins, and dietary fat malabsorption. Clinical presentation may vary from no symptoms to severe gastrointestinal and neurological dysfunction similar to abetalipoproteinemia. {ECO:0000269|PubMed:12551903, ECO:0000269|PubMed:21981844}. Note=The disease is caused by mutations affecting the gene represented in this entry. Most cases of FHBL1 result from nonsense mutations in the APOB gene that lead to a premature stop codon, which generate prematurely truncated apo B protein products (PubMed:21981844). {ECO:0000269|PubMed:21981844}.; DISEASE: Familial ligand-defective apolipoprotein B-100 (FDB) [MIM:144010]: Dominantly inherited disorder of lipoprotein metabolism leading to hypercholesterolemia and increased proneness to coronary artery disease (CAD). The plasma cholesterol levels are dramatically elevated due to impaired clearance of LDL particles by defective APOB/E receptors. {ECO:0000269|PubMed:21382890, ECO:0000269|PubMed:2563166, ECO:0000269|PubMed:7883971, ECO:0000269|PubMed:9259199}. Note=The disease is caused by mutations affecting the gene represented in this entry.; DISEASE: Note=Defects in APOB associated with defects in other genes (polygenic) can contribute to hypocholesterolemia.; </t>
  </si>
  <si>
    <t xml:space="preserve">chr5</t>
  </si>
  <si>
    <t xml:space="preserve">1437.64</t>
  </si>
  <si>
    <t xml:space="preserve">111</t>
  </si>
  <si>
    <t xml:space="preserve">52,59</t>
  </si>
  <si>
    <t xml:space="preserve">CM136041</t>
  </si>
  <si>
    <t xml:space="preserve">DPYSL3:NM_001197294:exon4:c.A763G:p.I255V,DPYSL3:NM_001387:exon4:c.A421G:p.I141V;DPYSL3:uc003lon.1:exon4:c.A421G:p.I141V,DPYSL3:uc003loo.3:exon4:c.A763G:p.I255V;ENSG00000113657:ENST00000343218:exon4:c.A763G:p.I255V,ENSG00000113657:ENST00000398514:exon4:c.A421G:p.I141V</t>
  </si>
  <si>
    <t xml:space="preserve">6/11</t>
  </si>
  <si>
    <t xml:space="preserve">0.996483173643699</t>
  </si>
  <si>
    <t xml:space="preserve">dihydropyrimidinase like 3</t>
  </si>
  <si>
    <t xml:space="preserve">FUNCTION: Necessary for signaling by class 3 semaphorins and subsequent remodeling of the cytoskeleton. Plays a role in axon guidance, neuronal growth cone collapse and cell migration (By similarity). {ECO:0000250}.; </t>
  </si>
  <si>
    <t xml:space="preserve">chr12</t>
  </si>
  <si>
    <t xml:space="preserve">1022.64</t>
  </si>
  <si>
    <t xml:space="preserve">105</t>
  </si>
  <si>
    <t xml:space="preserve">62,43</t>
  </si>
  <si>
    <t xml:space="preserve">CM133783</t>
  </si>
  <si>
    <t xml:space="preserve">SRGAP1:NM_001346201:exon16:c.C1780T:p.R594C,SRGAP1:NM_020762:exon16:c.C1849T:p.R617C;SRGAP1:uc001srv.2:exon15:c.C1660T:p.R554C,SRGAP1:uc010ssp.1:exon16:c.C1849T:p.R617C;ENSG00000196935:ENST00000543397:exon15:c.C1660T:p.R554C,ENSG00000196935:ENST00000355086:exon16:c.C1849T:p.R617C,ENSG00000196935:ENST00000357825:exon16:c.C1780T:p.R594C</t>
  </si>
  <si>
    <t xml:space="preserve">5/7</t>
  </si>
  <si>
    <t xml:space="preserve">risk_factor</t>
  </si>
  <si>
    <t xml:space="preserve">0.987851405418528</t>
  </si>
  <si>
    <t xml:space="preserve">SLIT-ROBO Rho GTPase activating protein 1</t>
  </si>
  <si>
    <t xml:space="preserve">FUNCTION: GTPase-activating protein for RhoA and Cdc42 small GTPases. Together with CDC42 seems to be involved in the pathway mediating the repulsive signaling of Robo and Slit proteins in neuronal migration. SLIT2, probably through interaction with ROBO1, increases the interaction of SRGAP1 with ROBO1 and inactivates CDC42. {ECO:0000269|PubMed:11672528}.; </t>
  </si>
  <si>
    <t xml:space="preserve">758.64</t>
  </si>
  <si>
    <t xml:space="preserve">45</t>
  </si>
  <si>
    <t xml:space="preserve">15,30</t>
  </si>
  <si>
    <t xml:space="preserve">CM1312861</t>
  </si>
  <si>
    <t xml:space="preserve">RD3:NM_001164688:exon3:c.A584T:p.D195V,RD3:NM_183059:exon3:c.A584T:p.D195V;RD3:uc001him.2:exon3:c.A584T:p.D195V,RD3:uc001hin.2:exon3:c.A584T:p.D195V;ENSG00000198570:ENST00000367002:exon3:c.A584T:p.D195V</t>
  </si>
  <si>
    <t xml:space="preserve">4/10</t>
  </si>
  <si>
    <t xml:space="preserve">0.0975162265688966</t>
  </si>
  <si>
    <t xml:space="preserve">retinal degeneration 3</t>
  </si>
  <si>
    <t xml:space="preserve">996.64</t>
  </si>
  <si>
    <t xml:space="preserve">104</t>
  </si>
  <si>
    <t xml:space="preserve">58,46</t>
  </si>
  <si>
    <t xml:space="preserve">CM1210260</t>
  </si>
  <si>
    <t xml:space="preserve">TYK2:NM_003331:exon3:c.G157A:p.A53T;TYK2:uc002moc.4:exon3:c.G157A:p.A53T,TYK2:uc002mod.2:exon3:c.G157A:p.A53T;ENSG00000105397:ENST00000264818:exon1:c.G157A:p.A53T,ENSG00000105397:ENST00000525621:exon3:c.G157A:p.A53T,ENSG00000105397:ENST00000529370:exon3:c.G157A:p.A53T,ENSG00000105397:ENST00000530829:exon3:c.G157A:p.A53T,ENSG00000105397:ENST00000531836:exon3:c.G157A:p.A53T</t>
  </si>
  <si>
    <t xml:space="preserve">8/10</t>
  </si>
  <si>
    <t xml:space="preserve">0.00431448241977221</t>
  </si>
  <si>
    <t xml:space="preserve">tyrosine kinase 2</t>
  </si>
  <si>
    <t xml:space="preserve">FUNCTION: Probably involved in intracellular signal transduction by being involved in the initiation of type I IFN signaling. Phosphorylates the interferon-alpha/beta receptor alpha chain. {ECO:0000269|PubMed:7526154}.; </t>
  </si>
  <si>
    <t xml:space="preserve">DISEASE: Immunodeficiency 35 (IMD35) [MIM:611521]: A primary immunodeficiency characterized by recurrent skin abscesses, pneumonia, and highly elevated serum IgE. {ECO:0000269|PubMed:17088085}. Note=The disease is caused by mutations affecting the gene represented in this entry.; </t>
  </si>
  <si>
    <t xml:space="preserve">chr21</t>
  </si>
  <si>
    <t xml:space="preserve">578.64</t>
  </si>
  <si>
    <t xml:space="preserve">175</t>
  </si>
  <si>
    <t xml:space="preserve">129,46</t>
  </si>
  <si>
    <t xml:space="preserve">CM115666;CM920136</t>
  </si>
  <si>
    <t xml:space="preserve">CBS:NM_001321072:exon7:c.T518C:p.I173T,CBS:NM_000071:exon10:c.T833C:p.I278T,CBS:NM_001178008:exon10:c.T833C:p.I278T,CBS:NM_001178009:exon10:c.T833C:p.I278T,CBSL:NM_001321073:exon10:c.T833C:p.I278T,CBSL:NM_001354008:exon10:c.T833C:p.I278T,CBSL:NM_001354009:exon10:c.T833C:p.I278T,CBSL:NM_001354010:exon10:c.T833C:p.I278T,CBSL:NM_001354012:exon10:c.T833C:p.I278T,CBSL:NM_001354014:exon10:c.T833C:p.I278T,CBSL:NM_001354015:exon10:c.T833C:p.I278T,CBS:NM_001320298:exon11:c.T833C:p.I278T,CBSL:NM_001354006:exon11:c.T833C:p.I278T,CBSL:NM_001354007:exon11:c.T833C:p.I278T;CBS:uc002zcs.1:exon7:c.T518C:p.I173T,CBS:uc002zct.2:exon10:c.T833C:p.I278T,CBS:uc002zcu.2:exon10:c.T833C:p.I278T,CBS:uc002zcv.2:exon10:c.T833C:p.I278T,CBS:uc002zcw.3:exon10:c.T833C:p.I278T;ENSG00000160200:ENST00000544202:exon8:c.T569C:p.I190T,ENSG00000160200:ENST00000352178:exon10:c.T833C:p.I278T,ENSG00000160200:ENST00000359624:exon10:c.T833C:p.I278T,ENSG00000160200:ENST00000398158:exon10:c.T833C:p.I278T,ENSG00000160200:ENST00000398165:exon10:c.T833C:p.I278T,ENSG00000160200:ENST00000398168:exon10:c.T833C:p.I278T</t>
  </si>
  <si>
    <t xml:space="preserve">10/11</t>
  </si>
  <si>
    <t xml:space="preserve">Pathogenic</t>
  </si>
  <si>
    <t xml:space="preserve">1;1</t>
  </si>
  <si>
    <t xml:space="preserve">0.00677205373062702</t>
  </si>
  <si>
    <t xml:space="preserve">cystathionine-beta-synthase;cystathionine-beta-synthase like</t>
  </si>
  <si>
    <t xml:space="preserve">FUNCTION: Hydro-lyase catalyzing the first step of the transsulfuration pathway, where the hydroxyl group of L-serine is displaced by L-homocysteine in a beta-replacement reaction to form L-cystathionine, the precursor of L-cysteine. This catabolic route allows the elimination of L-methionine and the toxic metabolite L- homocysteine (PubMed:23981774, PubMed:20506325, PubMed:23974653). Also involved in the production of hydrogen sulfide, a gasotransmitter with signaling and cytoprotective effects on neurons (By similarity). {ECO:0000250|UniProtKB:P32232, ECO:0000269|PubMed:20506325, ECO:0000269|PubMed:23974653, ECO:0000269|PubMed:23981774}.; ;FUNCTION: Hydro-lyase catalyzing the first step of the transsulfuration pathway, where the hydroxyl group of L-serine is displaced by L-homocysteine in a beta-replacement reaction to form L-cystathionine, the precursor of L-cysteine. This catabolic route allows the elimination of L-methionine and the toxic metabolite L- homocysteine. Also involved in the production of hydrogen sulfide, a gasotransmitter with signaling and cytoprotective effects on neurons. {ECO:0000250|UniProtKB:P32232, ECO:0000250|UniProtKB:P35520}.; </t>
  </si>
  <si>
    <t xml:space="preserve">chr4</t>
  </si>
  <si>
    <t xml:space="preserve">2735.64</t>
  </si>
  <si>
    <t xml:space="preserve">229</t>
  </si>
  <si>
    <t xml:space="preserve">119,110</t>
  </si>
  <si>
    <t xml:space="preserve">CM114632</t>
  </si>
  <si>
    <t xml:space="preserve">TLR1:NM_003263:exon4:c.A2159C:p.H720P;TLR1:uc021xnn.1:exon1:c.A2159C:p.H720P,TLR1:uc003gtl.3:exon4:c.A2159C:p.H720P;ENSG00000174125:ENST00000502213:exon3:c.A2159C:p.H720P,ENSG00000174125:ENST00000308979:exon4:c.A2159C:p.H720P</t>
  </si>
  <si>
    <t xml:space="preserve">2.02406979914294e-14</t>
  </si>
  <si>
    <t xml:space="preserve">toll like receptor 1</t>
  </si>
  <si>
    <t xml:space="preserve">FUNCTION: Participates in the innate immune response to microbial agents. Specifically recognizes diacylated and triacylated lipopeptides. Cooperates with TLR2 to mediate the innate immune response to bacterial lipoproteins or lipopeptides. Forms the activation cluster TLR2:TLR1:CD14 in response to triacylated lipopeptides, this cluster triggers signaling from the cell surface and subsequently is targeted to the Golgi in a lipid-raft dependent pathway. Acts via MYD88 and TRAF6, leading to NF-kappa-B activation, cytokine secretion and the inflammatory response. {ECO:0000269|PubMed:16880211}.; </t>
  </si>
  <si>
    <t xml:space="preserve">NGS_HighStringency</t>
  </si>
  <si>
    <t xml:space="preserve">1648.64</t>
  </si>
  <si>
    <t xml:space="preserve">137</t>
  </si>
  <si>
    <t xml:space="preserve">68,69</t>
  </si>
  <si>
    <t xml:space="preserve">CM1111106</t>
  </si>
  <si>
    <t xml:space="preserve">CNR2:NM_001841:exon2:c.C397A:p.L133I;CNR2:uc021oij.1:exon1:c.C397A:p.L133I,CNR2:uc001bif.3:exon2:c.C397A:p.L133I;ENSG00000188822:ENST00000374472:exon2:c.C397A:p.L133I,ENSG00000188822:ENST00000536471:exon3:c.C397A:p.L133I</t>
  </si>
  <si>
    <t xml:space="preserve">4/11</t>
  </si>
  <si>
    <t xml:space="preserve">0.00011072577844674</t>
  </si>
  <si>
    <t xml:space="preserve">cannabinoid receptor 2</t>
  </si>
  <si>
    <t xml:space="preserve">FUNCTION: Heterotrimeric G protein-coupled receptor for endocannabinoid 2-arachidonoylglycerol mediating inhibition of adenylate cyclase. May function in inflammatory response, nociceptive transmission and bone homeostasis. {ECO:0000269|PubMed:10051546, ECO:0000269|PubMed:12663043, ECO:0000269|PubMed:12711605, ECO:0000269|PubMed:18692962}.; </t>
  </si>
  <si>
    <t xml:space="preserve">839.64</t>
  </si>
  <si>
    <t xml:space="preserve">97</t>
  </si>
  <si>
    <t xml:space="preserve">55,42</t>
  </si>
  <si>
    <t xml:space="preserve">CM110784</t>
  </si>
  <si>
    <t xml:space="preserve">CATSPER4:NM_198137:exon2:c.A247G:p.M83V;CATSPER4:uc010oez.2:exon2:c.A247G:p.M83V;ENSG00000188782:ENST00000338855:exon2:c.A247G:p.M83V,ENSG00000188782:ENST00000456354:exon2:c.A247G:p.M83V,ENSG00000188782:ENST00000518899:exon2:c.A247G:p.M83V</t>
  </si>
  <si>
    <t xml:space="preserve">3.16436332178783e-05</t>
  </si>
  <si>
    <t xml:space="preserve">cation channel sperm associated 4</t>
  </si>
  <si>
    <t xml:space="preserve">FUNCTION: Voltage-gated calcium channel that plays a central role in calcium-dependent physiological responses essential for successful fertilization, such as sperm hyperactivation, acrosome reaction and chemotaxis towards the oocyte. Activated by extracellular progesterone and prostaglandins following the sequence: progesterone &gt; PGF1-alpha = PGE1 &gt; PGA1 &gt; PGE2 &gt;&gt; PGD2. The primary effect of progesterone activation is to shift voltage dependence towards more physiological, negative membrane potentials; it is not mediated by metabotropic receptors and second messengers. Sperm capacitation enhances the effect of progesterone by providing additional negative shift. Also activated by the elevation of intracellular pH. {ECO:0000269|PubMed:21412338, ECO:0000269|PubMed:21412339}.; </t>
  </si>
  <si>
    <t xml:space="preserve">chr20</t>
  </si>
  <si>
    <t xml:space="preserve">1124.64</t>
  </si>
  <si>
    <t xml:space="preserve">91</t>
  </si>
  <si>
    <t xml:space="preserve">43,48</t>
  </si>
  <si>
    <t xml:space="preserve">CM096334</t>
  </si>
  <si>
    <t xml:space="preserve">AHCY:NM_000687:exon2:c.C112T:p.R38W,AHCY:NM_001161766:exon2:c.C28T:p.R10W,AHCY:NM_001322084:exon2:c.C28T:p.R10W,AHCY:NM_001322085:exon2:c.C28T:p.R10W,AHCY:NM_001322086:exon2:c.C118T:p.R40W,AHCY:NM_001362750:exon2:c.C112T:p.R38W;AHCY:uc002xai.3:exon2:c.C112T:p.R38W,AHCY:uc002xaj.3:exon2:c.C28T:p.R10W,AHCY:uc010get.2:exon2:c.C112T:p.R38W;ENSG00000101444:ENST00000217426:exon2:c.C112T:p.R38W,ENSG00000101444:ENST00000538132:exon2:c.C28T:p.R10W</t>
  </si>
  <si>
    <t xml:space="preserve">6/10</t>
  </si>
  <si>
    <t xml:space="preserve">0.94406980715951</t>
  </si>
  <si>
    <t xml:space="preserve">adenosylhomocysteinase</t>
  </si>
  <si>
    <t xml:space="preserve">FUNCTION: Adenosylhomocysteine is a competitive inhibitor of S- adenosyl-L-methionine-dependent methyl transferase reactions; therefore adenosylhomocysteinase may play a key role in the control of methylations via regulation of the intracellular concentration of adenosylhomocysteine. {ECO:0000269|PubMed:12590576}.; </t>
  </si>
  <si>
    <t xml:space="preserve">DISEASE: Hypermethioninemia with S-adenosylhomocysteine hydrolase deficiency (HMAHCHD) [MIM:613752]: A metabolic disorder characterized by hypermethioninemia associated with failure to thrive, mental and motor retardation, facial dysmorphism with abnormal hair and teeth, and myocardiopathy. {ECO:0000269|PubMed:15024124, ECO:0000269|PubMed:16736098, ECO:0000269|PubMed:19177456, ECO:0000269|PubMed:20852937}. Note=The disease is caused by mutations affecting the gene represented in this entry.; </t>
  </si>
  <si>
    <t xml:space="preserve">638.64</t>
  </si>
  <si>
    <t xml:space="preserve">61</t>
  </si>
  <si>
    <t xml:space="preserve">33,28</t>
  </si>
  <si>
    <t xml:space="preserve">CM090931;CM090932</t>
  </si>
  <si>
    <t xml:space="preserve">TGFB1:NM_000660:exon1:c.G86C:p.G29A;TGFB1:uc002oqh.2:exon1:c.G86C:p.G29A;ENSG00000105329:ENST00000221930:exon1:c.G86C:p.G29A</t>
  </si>
  <si>
    <t xml:space="preserve">3/11</t>
  </si>
  <si>
    <t xml:space="preserve">0.354132528348928</t>
  </si>
  <si>
    <t xml:space="preserve">transforming growth factor beta 1</t>
  </si>
  <si>
    <t xml:space="preserve">FUNCTION: Multifunctional protein that controls proliferation, differentiation and other functions in many cell types. Many cells synthesize TGFB1 and have specific receptors for it. It positively and negatively regulates many other growth factors. It plays an important role in bone remodeling as it is a potent stimulator of osteoblastic bone formation, causing chemotaxis, proliferation and differentiation in committed osteoblasts. Can promote either T- helper 17 cells (Th17) or regulatory T-cells (Treg) lineage differentiation in a concentration-dependent manner. At high concentrations, leads to FOXP3-mediated suppression of RORC and down-regulation of IL-17 expression, favoring Treg cell development. At low concentrations in concert with IL-6 and IL-21, leads to expression of the IL-17 and IL-23 receptors, favoring differentiation to Th17 cells. {ECO:0000250|UniProtKB:P04202}.; </t>
  </si>
  <si>
    <t xml:space="preserve">DISEASE: Camurati-Engelmann disease (CAEND) [MIM:131300]: An autosomal dominant disorder characterized by hyperostosis and sclerosis of the diaphyses of long bones. The disease typically presents in early childhood with pain, muscular weakness and waddling gait, and in some cases other features such as exophthalmos, facial paralysis, hearing difficulties and loss of vision. {ECO:0000269|PubMed:10973241, ECO:0000269|PubMed:11062463, ECO:0000269|PubMed:15103729}. Note=The disease is caused by mutations affecting the gene represented in this entry.; </t>
  </si>
  <si>
    <t xml:space="preserve">chr22</t>
  </si>
  <si>
    <t xml:space="preserve">1034.64</t>
  </si>
  <si>
    <t xml:space="preserve">92</t>
  </si>
  <si>
    <t xml:space="preserve">48,44</t>
  </si>
  <si>
    <t xml:space="preserve">CM081566</t>
  </si>
  <si>
    <t xml:space="preserve">CYB5R3:NM_000398:exon2:c.C136T:p.R46W,CYB5R3:NM_001129819:exon2:c.C67T:p.R23W,CYB5R3:NM_001171660:exon2:c.C235T:p.R79W,CYB5R3:NM_007326:exon2:c.C67T:p.R23W,CYB5R3:NM_001171661:exon3:c.C67T:p.R23W;CYB5R3:uc003bcx.3:exon2:c.C67T:p.R23W,CYB5R3:uc003bcy.3:exon2:c.C67T:p.R23W,CYB5R3:uc003bcz.3:exon2:c.C136T:p.R46W,CYB5R3:uc011aps.2:exon2:c.C235T:p.R79W,CYB5R3:uc021wqn.1:exon3:c.C67T:p.R23W;ENSG00000100243:ENST00000407332:exon1:c.C67T:p.R23W,ENSG00000100243:ENST00000352397:exon2:c.C136T:p.R46W,ENSG00000100243:ENST00000361740:exon2:c.C235T:p.R79W,ENSG00000100243:ENST00000396303:exon2:c.C67T:p.R23W,ENSG00000100243:ENST00000407623:exon2:c.C67T:p.R23W,ENSG00000100243:ENST00000438270:exon2:c.C67T:p.R23W,ENSG00000100243:ENST00000402438:exon3:c.C67T:p.R23W</t>
  </si>
  <si>
    <t xml:space="preserve">11/12</t>
  </si>
  <si>
    <t xml:space="preserve">0.210867104328179</t>
  </si>
  <si>
    <t xml:space="preserve">cytochrome b5 reductase 3</t>
  </si>
  <si>
    <t xml:space="preserve">FUNCTION: Desaturation and elongation of fatty acids, cholesterol biosynthesis, drug metabolism, and, in erythrocyte, methemoglobin reduction.; </t>
  </si>
  <si>
    <t xml:space="preserve">DISEASE: Methemoglobinemia CYB5R3-related (METHB-CYB5R3) [MIM:250800]: A form of methemoglobinemia, a hematologic disease characterized by the presence of excessive amounts of methemoglobin in blood cells, resulting in decreased oxygen carrying capacity of the blood, cyanosis and hypoxia. There are two types of methemoglobinemia CYB5R3-related. In type 1, the defect affects the soluble form of the enzyme, is restricted to red blood cells, and causes well-tolerated methemoglobinemia. In type 2, the defect affects both the soluble and microsomal forms of the enzyme and is thus generalized, affecting red cells, leukocytes and all body tissues. Type 2 methemoglobinemia is associated with mental deficiency and other neurologic symptoms. {ECO:0000269|PubMed:10807796, ECO:0000269|PubMed:12393396, ECO:0000269|PubMed:1400360, ECO:0000269|PubMed:15622768, ECO:0000269|PubMed:1707593, ECO:0000269|PubMed:1898726, ECO:0000269|PubMed:7718898, ECO:0000269|PubMed:8119939, ECO:0000269|PubMed:9695975, ECO:0000269|PubMed:9886302}. Note=The disease is caused by mutations affecting the gene represented in this entry.; </t>
  </si>
  <si>
    <t xml:space="preserve">1766.64</t>
  </si>
  <si>
    <t xml:space="preserve">140</t>
  </si>
  <si>
    <t xml:space="preserve">70,70</t>
  </si>
  <si>
    <t xml:space="preserve">CM078319</t>
  </si>
  <si>
    <t xml:space="preserve">MBD5:NM_018328:exon9:c.G1382A:p.R461H;MBD5:uc002twm.4:exon9:c.G1382A:p.R461H;ENSG00000204406:ENST00000404807:exon4:c.G1382A:p.R461H,ENSG00000204406:ENST00000407073:exon9:c.G1382A:p.R461H</t>
  </si>
  <si>
    <t xml:space="preserve">4/7</t>
  </si>
  <si>
    <t xml:space="preserve">0.999852333253027</t>
  </si>
  <si>
    <t xml:space="preserve">methyl-CpG binding domain protein 5</t>
  </si>
  <si>
    <t xml:space="preserve">FUNCTION: Binds to heterochromatin. Does not interact with either methylated or unmethylated DNA (in vitro).; </t>
  </si>
  <si>
    <t xml:space="preserve">DISEASE: Mental retardation, autosomal dominant 1 (MRD1) [MIM:156200]: A disorder characterized by significantly below average general intellectual functioning associated with impairments in adaptive behavior and manifested during the developmental period. {ECO:0000269|PubMed:17847001}. Note=The disease is caused by mutations affecting the gene represented in this entry.; </t>
  </si>
  <si>
    <t xml:space="preserve">chr6</t>
  </si>
  <si>
    <t xml:space="preserve">1181.64</t>
  </si>
  <si>
    <t xml:space="preserve">93</t>
  </si>
  <si>
    <t xml:space="preserve">44,49</t>
  </si>
  <si>
    <t xml:space="preserve">CM051142</t>
  </si>
  <si>
    <t xml:space="preserve">PKHD1:NM_138694:exon30:c.A3407G:p.Y1136C,PKHD1:NM_170724:exon30:c.A3407G:p.Y1136C;PKHD1:uc003pah.1:exon30:c.A3407G:p.Y1136C,PKHD1:uc003pai.3:exon30:c.A3407G:p.Y1136C;ENSG00000170927:ENST00000340994:exon30:c.A3407G:p.Y1136C,ENSG00000170927:ENST00000371117:exon30:c.A3407G:p.Y1136C</t>
  </si>
  <si>
    <t xml:space="preserve">2.88608936958615e-23</t>
  </si>
  <si>
    <t xml:space="preserve">polycystic kidney and hepatic disease 1 (autosomal recessive)</t>
  </si>
  <si>
    <t xml:space="preserve">FUNCTION: May be required for correct bipolar cell division through the regulation of centrosome duplication and mitotic spindle assembly. May be a receptor protein that acts in collecting-duct and biliary differentiation. {ECO:0000269|PubMed:20554582}.; </t>
  </si>
  <si>
    <t xml:space="preserve">chr16</t>
  </si>
  <si>
    <t xml:space="preserve">1229.64</t>
  </si>
  <si>
    <t xml:space="preserve">115</t>
  </si>
  <si>
    <t xml:space="preserve">64,51</t>
  </si>
  <si>
    <t xml:space="preserve">CM040069</t>
  </si>
  <si>
    <t xml:space="preserve">GAN:NM_022041:exon11:c.C1684G:p.P562A;GAN:uc002fgo.3:exon11:c.C1684G:p.P562A;ENSG00000261609:ENST00000568107:exon11:c.C1684G:p.P562A</t>
  </si>
  <si>
    <t xml:space="preserve">6/7</t>
  </si>
  <si>
    <t xml:space="preserve">0.036349933633412</t>
  </si>
  <si>
    <t xml:space="preserve">gigaxonin</t>
  </si>
  <si>
    <t xml:space="preserve">FUNCTION: Probable cytoskeletal component that directly or indirectly plays an important role in neurofilament architecture. May act as a substrate-specific adapter of an E3 ubiquitin-protein ligase complex which mediates the ubiquitination and subsequent proteasomal degradation of target proteins. Controls degradation of TBCB. Controls degradation of MAP1B and MAP1S, and is critical for neuronal maintenance and survival. {ECO:0000269|PubMed:12147674, ECO:0000269|PubMed:15983046, ECO:0000269|PubMed:16227972, ECO:0000269|PubMed:16303566}.; </t>
  </si>
  <si>
    <t xml:space="preserve">DISEASE: Giant axonal neuropathy 1, autosomal recessive (GAN1) [MIM:256850]: A severe autosomal recessive sensorimotor neuropathy affecting both the peripheral nerves and the central nervous system. Axonal loss and the presence of giant axonal swellings filled with neurofilaments on nerve biopsies are the hallmarks of this neurodegenerative disorder. {ECO:0000269|PubMed:11062483, ECO:0000269|PubMed:11971098, ECO:0000269|PubMed:12655563, ECO:0000269|PubMed:17578852, ECO:0000269|PubMed:17587580}. Note=The disease is caused by mutations affecting the gene represented in this entry.; </t>
  </si>
  <si>
    <t xml:space="preserve">chr9</t>
  </si>
  <si>
    <t xml:space="preserve">1520.64</t>
  </si>
  <si>
    <t xml:space="preserve">142</t>
  </si>
  <si>
    <t xml:space="preserve">76,66</t>
  </si>
  <si>
    <t xml:space="preserve">CM035921</t>
  </si>
  <si>
    <t xml:space="preserve">TLR4:NM_138557:exon2:c.G242A:p.C81Y,TLR4:NM_138554:exon3:c.G842A:p.C281Y,TLR4:NM_003266:exon4:c.G722A:p.C241Y;TLR4:uc004bkb.4:exon2:c.G242A:p.C81Y,TLR4:uc004bjz.4:exon3:c.G842A:p.C281Y,TLR4:uc004bka.4:exon4:c.G722A:p.C241Y;ENSG00000136869:ENST00000355622:exon3:c.G842A:p.C281Y,ENSG00000136869:ENST00000394487:exon4:c.G722A:p.C241Y</t>
  </si>
  <si>
    <t xml:space="preserve">not_provided</t>
  </si>
  <si>
    <t xml:space="preserve">4.18065301209718e-06</t>
  </si>
  <si>
    <t xml:space="preserve">toll like receptor 4</t>
  </si>
  <si>
    <t xml:space="preserve">FUNCTION: Cooperates with LY96 and CD14 to mediate the innate immune response to bacterial lipopolysaccharide (LPS). Acts via MYD88, TIRAP and TRAF6, leading to NF-kappa-B activation, cytokine secretion and the inflammatory response (PubMed:9237759, PubMed:10835634). Also involved in LPS-independent inflammatory responses triggered by free fatty acids, such as palmitate, and Ni(2+). Responses triggered by Ni(2+) require non-conserved histidines and are, therefore, species-specific (PubMed:20711192). In complex with TLR6, promotes sterile inflammation in monocytes/macrophages in response to oxidized low-density lipoprotein (oxLDL) or amyloid-beta 42. In this context, the initial signal is provided by oxLDL- or amyloid-beta 42-binding to CD36. This event induces the formation of a heterodimer of TLR4 and TLR6, which is rapidly internalized and triggers inflammatory response, leading to the NF-kappa-B-dependent production of CXCL1, CXCL2 and CCL9 cytokines, via MYD88 signaling pathway, and CCL5 cytokine, via TICAM1 signaling pathway, as well as IL1B secretion. Binds electronegative LDL (LDL(-)) and mediates the cytokine release induced by LDL(-) (PubMed:23880187). {ECO:0000269|PubMed:10835634, ECO:0000269|PubMed:17478729, ECO:0000269|PubMed:20037584, ECO:0000269|PubMed:20711192, ECO:0000269|PubMed:23880187, ECO:0000269|PubMed:9237759}.; </t>
  </si>
  <si>
    <t xml:space="preserve">DISEASE: Macular degeneration, age-related, 10 (ARMD10) [MIM:611488]: A form of age-related macular degeneration, a multifactorial eye disease and the most common cause of irreversible vision loss in the developed world. In most patients, the disease is manifest as ophthalmoscopically visible yellowish accumulations of protein and lipid that lie beneath the retinal pigment epithelium and within an elastin-containing structure known as Bruch membrane. Note=Disease susceptibility is associated with variations affecting the gene represented in this entry.; </t>
  </si>
  <si>
    <t xml:space="preserve">chr11</t>
  </si>
  <si>
    <t xml:space="preserve">1783.64</t>
  </si>
  <si>
    <t xml:space="preserve">97,78</t>
  </si>
  <si>
    <t xml:space="preserve">CM023163</t>
  </si>
  <si>
    <t xml:space="preserve">SMPD1:NM_001365135:exon5:c.A1418T:p.E473V,SMPD1:NM_000543:exon6:c.A1550T:p.E517V,SMPD1:NM_001007593:exon6:c.A1547T:p.E516V,SMPD1:NM_001318088:exon6:c.A629T:p.E210V;SMPD1:uc001mcw.3:exon6:c.A1550T:p.E517V,SMPD1:uc009yew.3:exon6:c.A1547T:p.E516V;ENSG00000166311:ENST00000299397:exon5:c.A1418T:p.E473V,ENSG00000166311:ENST00000342245:exon6:c.A1550T:p.E517V,ENSG00000166311:ENST00000356761:exon6:c.A1382T:p.E461V,ENSG00000166311:ENST00000527275:exon6:c.A1547T:p.E516V</t>
  </si>
  <si>
    <t xml:space="preserve">7/11</t>
  </si>
  <si>
    <t xml:space="preserve">4.204719316463e-07</t>
  </si>
  <si>
    <t xml:space="preserve">sphingomyelin phosphodiesterase 1</t>
  </si>
  <si>
    <t xml:space="preserve">FUNCTION: Converts sphingomyelin to ceramide. Also has phospholipase C activities toward 1,2-diacylglycerolphosphocholine and 1,2-diacylglycerolphosphoglycerol. Isoform 2 and isoform 3 have lost catalytic activity.; </t>
  </si>
  <si>
    <t xml:space="preserve">DISEASE: Niemann-Pick disease A (NPDA) [MIM:257200]: An early- onset lysosomal storage disorder caused by failure to hydrolyze sphingomyelin to ceramide. It results in the accumulation of sphingomyelin and other metabolically related lipids in reticuloendothelial and other cell types throughout the body, leading to cell death. Niemann-Pick disease type A is a primarily neurodegenerative disorder characterized by onset within the first year of life, mental retardation, digestive disorders, failure to thrive, major hepatosplenomegaly, and severe neurologic symptoms. The severe neurological disorders and pulmonary infections lead to an early death, often around the age of four. Clinical features are variable. A phenotypic continuum exists between type A (basic neurovisceral) and type B (purely visceral) forms of Niemann-Pick disease, and the intermediate types encompass a cluster of variants combining clinical features of both types A and B. {ECO:0000269|PubMed:12556236, ECO:0000269|PubMed:1391960, ECO:0000269|PubMed:15221801, ECO:0000269|PubMed:15877209, ECO:0000269|PubMed:1618760, ECO:0000269|PubMed:1718266, ECO:0000269|PubMed:19405096, ECO:0000269|PubMed:2023926, ECO:0000269|PubMed:20386867, ECO:0000269|PubMed:8680412, ECO:0000269|PubMed:8693491, ECO:0000269|PubMed:9266408}. Note=The disease is caused by mutations affecting the gene represented in this entry.; DISEASE: Niemann-Pick disease B (NPDB) [MIM:607616]: A late-onset lysosomal storage disorder caused by failure to hydrolyze sphingomyelin to ceramide. It results in the accumulation of sphingomyelin and other metabolically related lipids in reticuloendothelial and other cell types throughout the body, leading to cell death. Clinical signs involve only visceral organs. The most constant sign is hepatosplenomegaly which can be associated with pulmonary symptoms. Patients remain free of neurologic manifestations. However, a phenotypic continuum exists between type A (basic neurovisceral) and type B (purely visceral) forms of Niemann-Pick disease, and the intermediate types encompass a cluster of variants combining clinical features of both types A and B. In Niemann-Pick disease type B, onset of the first symptoms occurs in early childhood and patients can survive into adulthood. {ECO:0000269|PubMed:12369017, ECO:0000269|PubMed:12556236, ECO:0000269|PubMed:1301192, ECO:0000269|PubMed:15241805, ECO:0000269|PubMed:16010684, ECO:0000269|PubMed:1618760, ECO:0000269|PubMed:16472269, ECO:0000269|PubMed:1885770, ECO:0000269|PubMed:19050888, ECO:0000269|PubMed:19405096, ECO:0000269|PubMed:20386867, ECO:0000269|PubMed:22613662, ECO:0000269|PubMed:8051942, ECO:0000269|PubMed:8664904}. Note=The disease is caused by mutations affecting the gene represented in this entry.; </t>
  </si>
  <si>
    <t xml:space="preserve">634.64</t>
  </si>
  <si>
    <t xml:space="preserve">49</t>
  </si>
  <si>
    <t xml:space="preserve">22,27</t>
  </si>
  <si>
    <t xml:space="preserve">CM022315</t>
  </si>
  <si>
    <t xml:space="preserve">ASL:NM_001024943:exon5:c.C392T:p.T131M,ASL:NM_001024944:exon5:c.C392T:p.T131M,ASL:NM_001024946:exon5:c.C392T:p.T131M,ASL:NM_000048:exon6:c.C392T:p.T131M;ASL:uc003tup.3:exon5:c.C392T:p.T131M,ASL:uc003tuq.3:exon5:c.C392T:p.T131M,ASL:uc003tur.3:exon5:c.C392T:p.T131M,ASL:uc011kdv.1:exon5:c.C392T:p.T131M,ASL:uc003tuo.3:exon6:c.C392T:p.T131M,ASL:uc011kdu.1:exon6:c.C392T:p.T131M;ENSG00000126522:ENST00000362000:exon4:c.C197T:p.T66M,ENSG00000126522:ENST00000380839:exon5:c.C392T:p.T131M,ENSG00000126522:ENST00000395331:exon5:c.C392T:p.T131M,ENSG00000126522:ENST00000395332:exon5:c.C392T:p.T131M,ENSG00000126522:ENST00000304874:exon6:c.C392T:p.T131M</t>
  </si>
  <si>
    <t xml:space="preserve">3.8494991468686e-08</t>
  </si>
  <si>
    <t xml:space="preserve">argininosuccinate lyase</t>
  </si>
  <si>
    <t xml:space="preserve">DISEASE: Argininosuccinic aciduria (ARGINSA) [MIM:207900]: An autosomal recessive disorder of the urea cycle. The disease is characterized by mental and physical retardation, liver enlargement, skin lesions, dry and brittle hair showing trichorrhexis nodosa microscopically and fluorescing red, convulsions, and episodic unconsciousness. {ECO:0000269|PubMed:12408190, ECO:0000269|PubMed:1705937, ECO:0000269|PubMed:17326097, ECO:0000269|PubMed:2263616, ECO:0000269|PubMed:24166829}. Note=The disease is caused by mutations affecting the gene represented in this entry.; </t>
  </si>
  <si>
    <t xml:space="preserve">1449.64</t>
  </si>
  <si>
    <t xml:space="preserve">59,56</t>
  </si>
  <si>
    <t xml:space="preserve">CD941753;CM870016</t>
  </si>
  <si>
    <t xml:space="preserve">PAH:NM_000277:exon12:c.C1222T:p.R408W,PAH:NM_001354304:exon13:c.C1222T:p.R408W;PAH:uc001tjq.1:exon12:c.C1222T:p.R408W;ENSG00000171759:ENST00000553106:exon12:c.C1222T:p.R408W,ENSG00000171759:ENST00000307000:exon13:c.C1207T:p.R403W</t>
  </si>
  <si>
    <t xml:space="preserve">1.19519744629961e-10</t>
  </si>
  <si>
    <t xml:space="preserve">phenylalanine hydroxylase</t>
  </si>
  <si>
    <t xml:space="preserve">DISEASE: Phenylketonuria (PKU) [MIM:261600]: Autosomal recessive inborn error of phenylalanine metabolism, due to severe phenylalanine hydroxylase deficiency. It is characterized by blood concentrations of phenylalanine persistently above 1200 mumol (normal concentration 100 mumol) which usually causes mental retardation (unless low phenylalanine diet is introduced early in life). They tend to have light pigmentation, rashes similar to eczema, epilepsy, extreme hyperactivity, psychotic states and an unpleasant 'mousy' odor. {ECO:0000269|PubMed:10200057, ECO:0000269|PubMed:10679941, ECO:0000269|PubMed:11180595, ECO:0000269|PubMed:11385716, ECO:0000269|PubMed:11461196, ECO:0000269|PubMed:12501224, ECO:0000269|PubMed:1355066, ECO:0000269|PubMed:1363837, ECO:0000269|PubMed:1363838, ECO:0000269|PubMed:1671810, ECO:0000269|PubMed:1672290, ECO:0000269|PubMed:1672294, ECO:0000269|PubMed:1679030, ECO:0000269|PubMed:1709636, ECO:0000269|PubMed:1975559, ECO:0000269|PubMed:2014802, ECO:0000269|PubMed:22513348, ECO:0000269|PubMed:22526846, ECO:0000269|PubMed:23792259, ECO:0000269|PubMed:2564729, ECO:0000269|PubMed:2615649, ECO:0000269|PubMed:2840952, ECO:0000269|PubMed:7833954, ECO:0000269|PubMed:8068076, ECO:0000269|PubMed:8406445, ECO:0000269|PubMed:8889590, ECO:0000269|PubMed:9048935, ECO:0000269|PubMed:9101291, ECO:0000269|PubMed:9452061, ECO:0000269|PubMed:9452062, ECO:0000269|PubMed:9521426, ECO:0000269|PubMed:9600453, ECO:0000269|PubMed:9792407, ECO:0000269|PubMed:9950317}. Note=The disease is caused by mutations affecting the gene represented in this entry.; DISEASE: Non-phenylketonuria hyperphenylalaninemia (Non-PKU HPA) [MIM:261600]: Mild form of phenylalanine hydroxylase deficiency characterized by phenylalanine levels persistently below 600 mumol, which allows normal intellectual and behavioral development without treatment. Non-PKU HPA is usually caused by the combined effect of a mild hyperphenylalaninemia mutation and a severe one. {ECO:0000269|PubMed:1358789, ECO:0000269|PubMed:8088845, ECO:0000269|PubMed:8098245, ECO:0000269|PubMed:9521426, ECO:0000269|PubMed:9852673}. Note=The disease is caused by mutations affecting the gene represented in this entry.; DISEASE: Hyperphenylalaninemia (HPA) [MIM:261600]: Mildest form of phenylalanine hydroxylase deficiency. {ECO:0000269|PubMed:11385716, ECO:0000269|PubMed:11935335, ECO:0000269|PubMed:12501224, ECO:0000269|PubMed:1358789, ECO:0000269|PubMed:23792259, ECO:0000269|PubMed:8088845, ECO:0000269|PubMed:8098245, ECO:0000269|PubMed:9521426, ECO:0000269|PubMed:9852673}. Note=The disease is caused by mutations affecting the gene represented in this entry.; </t>
  </si>
  <si>
    <t xml:space="preserve">chr10</t>
  </si>
  <si>
    <t xml:space="preserve">-</t>
  </si>
  <si>
    <t xml:space="preserve">AA</t>
  </si>
  <si>
    <t xml:space="preserve">1082.02</t>
  </si>
  <si>
    <t xml:space="preserve">51</t>
  </si>
  <si>
    <t xml:space="preserve">5,20,26</t>
  </si>
  <si>
    <t xml:space="preserve">CD127320</t>
  </si>
  <si>
    <t xml:space="preserve">NM_001015880:exon3:c.381+2-&gt;AA;NM_004670:exon3:c.381+2-&gt;AA;uc001kew.3:exon3:c.381+2-&gt;AA;uc001kex.3:exon3:c.381+2-&gt;AA;ENST00000361175:exon3:c.381+2-&gt;AA;ENST00000456849:exon3:c.381+2-&gt;AA;ENST00000427144:exon3:c.393+2-&gt;AA</t>
  </si>
  <si>
    <t xml:space="preserve">1/2</t>
  </si>
  <si>
    <t xml:space="preserve">2.50259228647192e-07</t>
  </si>
  <si>
    <t xml:space="preserve">3'-phosphoadenosine 5'-phosphosulfate synthase 2</t>
  </si>
  <si>
    <t xml:space="preserve">FUNCTION: Bifunctional enzyme with both ATP sulfurylase and APS kinase activity, which mediates two steps in the sulfate activation pathway. The first step is the transfer of a sulfate group to ATP to yield adenosine 5'-phosphosulfate (APS), and the second step is the transfer of a phosphate group from ATP to APS yielding 3'-phosphoadenylylsulfate (PAPS: activated sulfate donor used by sulfotransferase). In mammals, PAPS is the sole source of sulfate; APS appears to be only an intermediate in the sulfate- activation pathway. May have a important role in skeletogenesis during postnatal growth (By similarity). {ECO:0000250}.; </t>
  </si>
  <si>
    <t xml:space="preserve">AAAAA</t>
  </si>
  <si>
    <t xml:space="preserve">NM_001015880:exon3:c.381+2-&gt;AAAAA;NM_004670:exon3:c.381+2-&gt;AAAAA;uc001kew.3:exon3:c.381+2-&gt;AAAAA;uc001kex.3:exon3:c.381+2-&gt;AAAAA;ENST00000361175:exon3:c.381+2-&gt;AAAAA;ENST00000456849:exon3:c.381+2-&gt;AAAAA;ENST00000427144:exon3:c.393+2-&gt;AAAAA</t>
  </si>
  <si>
    <t xml:space="preserve">1472.64</t>
  </si>
  <si>
    <t xml:space="preserve">294</t>
  </si>
  <si>
    <t xml:space="preserve">241,53</t>
  </si>
  <si>
    <t xml:space="preserve">stopgain</t>
  </si>
  <si>
    <t xml:space="preserve">KMT2C:NM_170606:exon18:c.C2961G:p.Y987X;KMT2C:uc003wkz.3:exon4:c.C144G:p.Y48X,KMT2C:uc003wla.3:exon18:c.C2961G:p.Y987X;ENSG00000055609:ENST00000262189:exon18:c.C2961G:p.Y987X,ENSG00000055609:ENST00000355193:exon18:c.C2961G:p.Y987X</t>
  </si>
  <si>
    <t xml:space="preserve">3/3</t>
  </si>
  <si>
    <t xml:space="preserve">Uncertain_significance</t>
  </si>
  <si>
    <t xml:space="preserve">0.999999999999997</t>
  </si>
  <si>
    <t xml:space="preserve">lysine methyltransferase 2C</t>
  </si>
  <si>
    <t xml:space="preserve">FUNCTION: Histone methyltransferase. Methylates 'Lys-4' of histone H3. H3 'Lys-4' methylation represents a specific tag for epigenetic transcriptional activation. Central component of the MLL2/3 complex, a coactivator complex of nuclear receptors, involved in transcriptional coactivation. KMT2C/MLL3 may be a catalytic subunit of this complex. May be involved in leukemogenesis and developmental disorder. {ECO:0000269|PubMed:17500065}.; </t>
  </si>
  <si>
    <t xml:space="preserve">1214.64</t>
  </si>
  <si>
    <t xml:space="preserve">94</t>
  </si>
  <si>
    <t xml:space="preserve">44,50</t>
  </si>
  <si>
    <t xml:space="preserve">UTR3;ncRNA_intronic</t>
  </si>
  <si>
    <t xml:space="preserve">NM_001172416:c.*2886C&gt;T;NM_002242:c.*2324C&gt;T;NM_001172417:c.*2324C&gt;T;uc002vto.3:c.*2324C&gt;T;uc002vtn.3:c.*2886C&gt;T;uc002vtp.3:c.*2324C&gt;T;uc021vyk.1:c.*2324C&gt;T</t>
  </si>
  <si>
    <t xml:space="preserve">B</t>
  </si>
  <si>
    <t xml:space="preserve">0.758052442479994</t>
  </si>
  <si>
    <t xml:space="preserve">potassium voltage-gated channel subfamily J member 13</t>
  </si>
  <si>
    <t xml:space="preserve">FUNCTION: Inward rectifier potassium channels are characterized by a greater tendency to allow potassium to flow into the cell rather than out of it. Their voltage dependence is regulated by the concentration of extracellular potassium; as external potassium is raised, the voltage range of the channel opening shifts to more positive voltages. The inward rectification is mainly due to the blockage of outward current by internal magnesium. KCNJ13 has a very low single channel conductance, low sensitivity to block by external barium and cesium, and no dependence of its inward rectification properties on the internal blocking particle magnesium.; </t>
  </si>
  <si>
    <t xml:space="preserve">DISEASE: Snowflake vitreoretinal degeneration (SVD) [MIM:193230]: Developmental and progressive hereditary eye disorder that affects multiple tissues within the eye. Diagnostic features of SVD include fibrillar degeneration of the vitreous humor, early-onset cataract, minute crystalline deposits in the neurosensory retina, and retinal detachment. {ECO:0000269|PubMed:18179896}. Note=The disease is caused by mutations affecting the gene represented in this entry.; DISEASE: Leber congenital amaurosis 16 (LCA16) [MIM:614186]: A severe dystrophy of the retina, typically becoming evident in the first years of life. Visual function is usually poor and often accompanied by nystagmus, sluggish or near-absent pupillary responses, photophobia, high hyperopia and keratoconus. {ECO:0000269|PubMed:21763485}. Note=The disease is caused by mutations affecting the gene represented in this entry.; </t>
  </si>
  <si>
    <t xml:space="preserve">51.60</t>
  </si>
  <si>
    <t xml:space="preserve">6</t>
  </si>
  <si>
    <t xml:space="preserve">4,2</t>
  </si>
  <si>
    <t xml:space="preserve">NM_003630:c.*318_*319delAA;uc003qjl.3:c.*318_*319delAA</t>
  </si>
  <si>
    <t xml:space="preserve">0.00276137425966162</t>
  </si>
  <si>
    <t xml:space="preserve">peroxisomal biogenesis factor 3</t>
  </si>
  <si>
    <t xml:space="preserve">FUNCTION: Involved in peroxisome biosynthesis and integrity. Assembles membrane vesicles before the matrix proteins are translocated. As a docking factor for PEX19, is necessary for the import of peroxisomal membrane proteins in the peroxisomes. {ECO:0000269|PubMed:10848631, ECO:0000269|PubMed:15007061}.; </t>
  </si>
  <si>
    <t xml:space="preserve">DISEASE: Peroxisome biogenesis disorder 10A (PBD10A) [MIM:614882]: A fatal peroxisome biogenesis disorder belonging to the Zellweger disease spectrum and clinically characterized by severe neurologic dysfunction with profound psychomotor retardation, severe hypotonia and neonatal seizures, craniofacial abnormalities, liver dysfunction, and biochemically by the absence of peroxisomes. Additional features include cardiovascular and skeletal defects, renal cysts, ocular abnormalities, and hearing impairment. Most severely affected individuals with the classic form of the disease (classic Zellweger syndrome) die within the first year of life. {ECO:0000269|PubMed:10848631, ECO:0000269|PubMed:10958759}. Note=The disease is caused by mutations affecting the gene represented in this entry.; </t>
  </si>
  <si>
    <t xml:space="preserve">TGCACGCTGTGCAGCT</t>
  </si>
  <si>
    <t xml:space="preserve">424.60</t>
  </si>
  <si>
    <t xml:space="preserve">50</t>
  </si>
  <si>
    <t xml:space="preserve">37,13</t>
  </si>
  <si>
    <t xml:space="preserve">frameshift insertion</t>
  </si>
  <si>
    <t xml:space="preserve">CFAP410:NM_001271440:exon1:c.33_34insAGCTGCACAGCGTGCA:p.A12Sfs*60,CFAP410:NM_001271441:exon1:c.33_34insAGCTGCACAGCGTGCA:p.A12Sfs*60,CFAP410:NM_004928:exon1:c.33_34insAGCTGCACAGCGTGCA:p.A12Sfs*60;C21orf2:uc002zep.2:exon1:c.33_34insAGCTGCACAGCGTGCA:p.A12Sfs*60,C21orf2:uc002zeq.2:exon1:c.33_34insAGCTGCACAGCGTGCA:p.A12Sfs*60,C21orf2:uc002zer.2:exon1:c.33_34insAGCTGCACAGCGTGCA:p.A12Sfs*60;ENSG00000160226:ENST00000325223:exon1:c.33_34insAGCTGCACAGCGTGCA:p.A12Sfs*60,ENSG00000160226:ENST00000339818:exon1:c.33_34insAGCTGCACAGCGTGCA:p.A12Sfs*60,ENSG00000160226:ENST00000397956:exon1:c.33_34insAGCTGCACAGCGTGCA:p.A12Sfs*60</t>
  </si>
  <si>
    <t xml:space="preserve">0.0135303834414265</t>
  </si>
  <si>
    <t xml:space="preserve">chromosome 21 open reading frame 2</t>
  </si>
  <si>
    <t xml:space="preserve">FUNCTION: May play roles in cilia formation and/or maintenance (By similarity). Plays a role in the regulation of cell morphology and cytoskeletal organization. {ECO:0000250, ECO:0000269|PubMed:21834987}.; </t>
  </si>
  <si>
    <t xml:space="preserve">chr15</t>
  </si>
  <si>
    <t xml:space="preserve">555.64</t>
  </si>
  <si>
    <t xml:space="preserve">41</t>
  </si>
  <si>
    <t xml:space="preserve">21,20</t>
  </si>
  <si>
    <t xml:space="preserve">intronic;ncRNA_intronic</t>
  </si>
  <si>
    <t xml:space="preserve">Likely_benign</t>
  </si>
  <si>
    <t xml:space="preserve">0.97817997330196</t>
  </si>
  <si>
    <t xml:space="preserve">solute carrier family 12 member 6</t>
  </si>
  <si>
    <t xml:space="preserve">FUNCTION: Mediates electroneutral potassium-chloride cotransport. May be activated by cell swelling. May contribute to cell volume homeostasis in single cells.; </t>
  </si>
  <si>
    <t xml:space="preserve">DISEASE: Agenesis of the corpus callosum, with peripheral neuropathy (ACCPN) [MIM:218000]: A disease that is characterized by severe progressive sensorimotor neuropathy, mental retardation, dysmorphic features and complete or partial agenesis of the corpus callosum. Note=The disease is caused by mutations affecting the gene represented in this entry.; </t>
  </si>
  <si>
    <t xml:space="preserve">chr17</t>
  </si>
  <si>
    <t xml:space="preserve">221.64</t>
  </si>
  <si>
    <t xml:space="preserve">12</t>
  </si>
  <si>
    <t xml:space="preserve">5,7</t>
  </si>
  <si>
    <t xml:space="preserve">NM_000430:c.*2862G&gt;A;uc002fuw.4:c.*2862G&gt;A;uc010vqz.2:c.*2862G&gt;A</t>
  </si>
  <si>
    <t xml:space="preserve">0.99963285344523</t>
  </si>
  <si>
    <t xml:space="preserve">platelet activating factor acetylhydrolase 1b regulatory subunit 1</t>
  </si>
  <si>
    <t xml:space="preserve">FUNCTION: Required for proper activation of Rho GTPases and actin polymerization at the leading edge of locomoting cerebellar neurons and postmigratory hippocampal neurons in response to calcium influx triggered via NMDA receptors. Non-catalytic subunit of an acetylhydrolase complex which inactivates platelet- activating factor (PAF) by removing the acetyl group at the SN-2 position (By similarity). Positively regulates the activity of the minus-end directed microtubule motor protein dynein. May enhance dynein-mediated microtubule sliding by targeting dynein to the microtubule plus end. Required for several dynein- and microtubule-dependent processes such as the maintenance of Golgi integrity, the peripheral transport of microtubule fragments and the coupling of the nucleus and centrosome. Required during brain development for the proliferation of neuronal precursors and the migration of newly formed neurons from the ventricular/subventricular zone toward the cortical plate. Neuronal migration involves a process called nucleokinesis, whereby migrating cells extend an anterior process into which the nucleus subsequently translocates. During nucleokinesis dynein at the nuclear surface may translocate the nucleus towards the centrosome by exerting force on centrosomal microtubules. May also play a role in other forms of cell locomotion including the migration of fibroblasts during wound healing. {ECO:0000250, ECO:0000269|PubMed:15173193}.; </t>
  </si>
  <si>
    <t xml:space="preserve">DISEASE: Lissencephaly 1 (LIS1) [MIM:607432]: A classical lissencephaly. It is characterized by agyria or pachygyria and disorganization of the clear neuronal lamination of normal six- layered cortex. The cortex is abnormally thick and poorly organized with 4 primitive layers. Associated with enlarged and dysmorphic ventricles and often hypoplasia of the corpus callosum. {ECO:0000269|PubMed:11502906, ECO:0000269|PubMed:15007136, ECO:0000269|PubMed:9063735}. Note=The disease is caused by mutations affecting the gene represented in this entry.; DISEASE: Subcortical band heterotopia (SBH) [MIM:607432]: SBH is a mild brain malformation of the lissencephaly spectrum. It is characterized by bilateral and symmetric plates or bands of gray matter found in the central white matter between the cortex and cerebral ventricles, cerebral convolutions usually appearing normal. {ECO:0000269|PubMed:10441340, ECO:0000269|PubMed:14581661}. Note=The disease is caused by mutations affecting the gene represented in this entry.; DISEASE: Miller-Dieker lissencephaly syndrome (MDLS) [MIM:247200]: A contiguous gene deletion syndrome of chromosome 17p13.3, characterized by classical lissencephaly and distinct facial features. Additional congenital malformations can be part of the condition. Note=The disease is caused by mutations affecting the gene represented in this entry.; </t>
  </si>
  <si>
    <t xml:space="preserve">chr3</t>
  </si>
  <si>
    <t xml:space="preserve">565.64</t>
  </si>
  <si>
    <t xml:space="preserve">29</t>
  </si>
  <si>
    <t xml:space="preserve">9,20</t>
  </si>
  <si>
    <t xml:space="preserve">PD</t>
  </si>
  <si>
    <t xml:space="preserve">1;1;1</t>
  </si>
  <si>
    <t xml:space="preserve">1.74543485053087e-08;2.07158412910707e-05</t>
  </si>
  <si>
    <t xml:space="preserve">KIAA1257;acyl-CoA dehydrogenase family member 9</t>
  </si>
  <si>
    <t xml:space="preserve">FUNCTION: Required for mitochondrial complex I assembly (PubMed:20816094, PubMed:24158852). Has a dehydrogenase activity on palmitoyl-CoA (C16:0) and stearoyl-CoA (C18:0). It is three times more active on palmitoyl-CoA than on stearoyl-CoA. However, it does not play a primary role in long-chain fatty acid oxidation in vivo (PubMed:20816094, PubMed:24158852). Has little activity on octanoyl-CoA (C8:0), butyryl-CoA (C4:0) or isovaleryl-CoA (5:0). {ECO:0000269|PubMed:20816094, ECO:0000269|PubMed:24158852}.; </t>
  </si>
  <si>
    <t xml:space="preserve">1044.64</t>
  </si>
  <si>
    <t xml:space="preserve">119</t>
  </si>
  <si>
    <t xml:space="preserve">72,47</t>
  </si>
  <si>
    <t xml:space="preserve">0.215546849622465</t>
  </si>
  <si>
    <t xml:space="preserve">gap junction protein alpha 1</t>
  </si>
  <si>
    <t xml:space="preserve">FUNCTION: Gap junction protein that acts as a regulator of bladder capacity. A gap junction consists of a cluster of closely packed pairs of transmembrane channels, the connexons, through which materials of low MW diffuse from one cell to a neighboring cell. May play a critical role in the physiology of hearing by participating in the recycling of potassium to the cochlear endolymph. Negative regulator of bladder functional capacity: acts by enhancing intercellular electrical and chemical transmission, thus sensitizing bladder muscles to cholinergic neural stimuli and causing them to contract (By similarity). May play a role in cell growth inhibition through the regulation of NOV expression and localization. Plays an essential role in gap junction communication in the ventricles (By similarity). {ECO:0000250|UniProtKB:P08050, ECO:0000250|UniProtKB:P23242}.; </t>
  </si>
  <si>
    <t xml:space="preserve">DISEASE: Oculodentodigital dysplasia (ODDD) [MIM:164200]: A disease characterized by a typical facial appearance and variable involvement of the eyes, dentition, and fingers. Characteristic facial features include a narrow, pinched nose with hypoplastic alae nasi, prominent columella and thin anteverted nares together with a narrow nasal bridge, and prominent epicanthic folds giving the impression of hypertelorism. The teeth are usually small and carious. Typical eye findings include microphthalmia and microcornea. The characteristic digital malformation is complete syndactyly of the fourth and fifth fingers (syndactyly type III) but the third finger may be involved and associated camptodactyly is a common finding. Cardiac abnormalities are observed in rare instances. {ECO:0000269|PubMed:12457340, ECO:0000269|PubMed:14729836, ECO:0000269|PubMed:15108203, ECO:0000269|PubMed:15637728, ECO:0000269|PubMed:16219735, ECO:0000269|PubMed:16222672, ECO:0000269|PubMed:16378922, ECO:0000269|PubMed:16709485, ECO:0000269|PubMed:16813608, ECO:0000269|PubMed:16816024, ECO:0000269|PubMed:17509830, ECO:0000269|PubMed:18161618, ECO:0000269|PubMed:19338053, ECO:0000269|PubMed:21670345, ECO:0000269|PubMed:23550541, ECO:0000269|PubMed:24508941}. Note=The disease is caused by mutations affecting the gene represented in this entry.; DISEASE: Oculodentodigital dysplasia, autosomal recessive (ODDD- AR) [MIM:257850]: A disease characterized by a typical facial appearance and variable involvement of the eyes, dentition, and fingers. Characteristic facial features include a narrow, pinched nose with hypoplastic alae nasi, prominent columella and thin anteverted nares together with a narrow nasal bridge, and prominent epicanthic folds giving the impression of hypertelorism. The teeth are usually small and carious. Typical eye findings include microphthalmia and microcornea. The characteristic digital malformation is complete syndactyly of the fourth and fifth fingers (syndactyly type III) but the third finger may be involved and associated camptodactyly is a common finding. Cardiac abnormalities are observed in rare instances. {ECO:0000269|PubMed:16816024}. Note=The disease is caused by mutations affecting the gene represented in this entry.; DISEASE: Syndactyly 3 (SDTY3) [MIM:186100]: A form of syndactyly, a congenital anomaly of the hand or foot marked by persistence of the webbing between adjacent digits that are more or less completely attached. In SDTY3, there is usually complete and bilateral syndactyly between the fourth and fifth fingers. Usually it is soft tissue syndactyly but occasionally the distal phalanges are fused. The fifth finger is short with absent or rudimentary middle phalanx. The feet are not affected. {ECO:0000269|PubMed:14729836}. Note=The disease may be caused by mutations affecting the gene represented in this entry.; DISEASE: Hypoplastic left heart syndrome 1 (HLHS1) [MIM:241550]: A syndrome due to defective development of the aorta proximal to the entrance of the ductus arteriosus, and hypoplasia of the left ventricle and mitral valve. As a result of the abnormal circulation, the ductus arteriosus and foramen ovale are patent and the right atrium, right ventricle, and pulmonary artery are enlarged. {ECO:0000269|PubMed:11470490}. Note=The disease is caused by mutations affecting the gene represented in this entry.; DISEASE: Hallermann-Streiff syndrome (HSS) [MIM:234100]: A disorder characterized by a typical skull shape (brachycephaly with frontal bossing), hypotrichosis, microphthalmia, cataracts, beaked nose, micrognathia, skin atrophy, dental anomalies and proportionate short stature. Mental retardation is present in a minority of cases. {ECO:0000269|PubMed:14974090}. Note=The disease is caused by mutations affecting the gene represented in this entry.; DISEASE: Atrioventricular septal defect 3 (AVSD3) [MIM:600309]: A congenital heart malformation characterized by a common atrioventricular junction coexisting with deficient atrioventricular septation. The complete form involves underdevelopment of the lower part of the atrial septum and the upper part of the ventricular septum; the valve itself is also shared. A less severe form, known as ostium primum atrial septal defect, is characterized by separate atrioventricular valvar orifices despite a common junction. {ECO:0000269|PubMed:11470490}. Note=The disease is caused by mutations affecting the gene represented in this entry.; DISEASE: Craniometaphyseal dysplasia, autosomal recessive (CMDR) [MIM:218400]: An osteochondrodysplasia characterized by hyperostosis and sclerosis of the craniofacial bones associated with abnormal modeling of the metaphyses. Sclerosis of the skull may lead to asymmetry of the mandible, as well as to cranial nerve compression, that may finally result in hearing loss and facial palsy. {ECO:0000269|PubMed:23951358}. Note=The disease is caused by mutations affecting the gene represented in this entry.; </t>
  </si>
  <si>
    <t xml:space="preserve">NGS_LowStringency</t>
  </si>
  <si>
    <t xml:space="preserve">chr18</t>
  </si>
  <si>
    <t xml:space="preserve">1944.64</t>
  </si>
  <si>
    <t xml:space="preserve">153</t>
  </si>
  <si>
    <t xml:space="preserve">73,80</t>
  </si>
  <si>
    <t xml:space="preserve">0.999999998790609</t>
  </si>
  <si>
    <t xml:space="preserve">structural maintenance of chromosomes flexible hinge domain containing 1</t>
  </si>
  <si>
    <t xml:space="preserve">FUNCTION: Required for maintenance of X inactivation in females and hypermethylation of CpG islands associated with inactive X. Involved in a pathway that mediates the methylation of a subset of CpG islands slowly and requires the de novo methyltransferase DNMT3B (By similarity). Required for DUX4 silencing in somatic cells. {ECO:0000250, ECO:0000269|PubMed:23143600}.; </t>
  </si>
  <si>
    <t xml:space="preserve">DISEASE: Facioscapulohumeral muscular dystrophy 2 (FSHD2) [MIM:158901]: A degenerative muscle disease characterized by slowly progressive weakness of the muscles of the face, upper-arm, and shoulder girdle. The onset of symptoms usually occurs in the first or second decade of life. Affected individuals usually present with impairment of upper extremity elevation. This tends to be followed by facial weakness, primarily involving the orbicularis oris and orbicularis oculi muscles. {ECO:0000269|PubMed:23143600}. Note=The disease is caused by mutations affecting the gene represented in this entry. SMCHD1 mutations lead to DUX4 expression in somatic tissues, including muscle cells, when an haplotype on chromosome 4 is permissive for DUX4 expression. Ectopic expression of DUX4 in skeletal muscle activates the expression of stem cell and germline genes, and, when overexpressed in somatic cells, DUX4 can ultimately lead to cell death.; </t>
  </si>
  <si>
    <t xml:space="preserve">1691.64</t>
  </si>
  <si>
    <t xml:space="preserve">146</t>
  </si>
  <si>
    <t xml:space="preserve">74,72</t>
  </si>
  <si>
    <t xml:space="preserve">exonic;splicing</t>
  </si>
  <si>
    <t xml:space="preserve">synonymous SNV</t>
  </si>
  <si>
    <t xml:space="preserve">TTN:NM_003319:exon43:c.C10104T:p.Y3368Y,TTN:NM_133432:exon43:c.C10104T:p.Y3368Y,TTN:NM_133437:exon43:c.C10104T:p.Y3368Y,TTN:NM_001256850:exon44:c.C10242T:p.Y3414Y,TTN:NM_001267550:exon44:c.C10242T:p.Y3414Y,TTN:NM_133378:exon44:c.C10242T:p.Y3414Y,TTN:NM_133379:exon44:c.C10242T:p.Y3414Y;TTN:uc002umz.1:exon2:c.C225T:p.Y75Y,TTN:uc021vsz.2:exon43:c.C10104T:p.Y3368Y,TTN:uc021vta.2:exon43:c.C10104T:p.Y3368Y,TTN:uc021vtb.2:exon43:c.C10104T:p.Y3368Y,TTN:uc002unb.3:exon44:c.C10242T:p.Y3414Y,TTN:uc021vsy.2:exon44:c.C10242T:p.Y3414Y,TTN:uc031rqc.1:exon44:c.C10242T:p.Y3414Y,TTN:uc031rqd.1:exon44:c.C10242T:p.Y3414Y;ENST00000590773:exon4:c.354+1G&gt;A;ENST00000578746:exon3:c.175+1G&gt;A;ENST00000610005:exon1:c.291+1G&gt;A;ENSG00000155657:ENST00000342175:exon43:c.C10104T:p.Y3368Y,ENSG00000155657:ENST00000359218:exon43:c.C10104T:p.Y3368Y,ENSG00000155657:ENST00000460472:exon43:c.C10104T:p.Y3368Y,ENSG00000155657:ENST00000342992:exon44:c.C10242T:p.Y3414Y,ENSG00000155657:ENST00000360870:exon44:c.C10242T:p.Y3414Y,ENSG00000155657:ENST00000589042:exon44:c.C10242T:p.Y3414Y,ENSG00000155657:ENST00000591111:exon44:c.C10242T:p.Y3414Y</t>
  </si>
  <si>
    <t xml:space="preserve">4</t>
  </si>
  <si>
    <t xml:space="preserve">1.21111377105808e-32</t>
  </si>
  <si>
    <t xml:space="preserve">titin</t>
  </si>
  <si>
    <t xml:space="preserve">FUNCTION: Key component in the assembly and functioning of vertebrate striated muscles. By providing connections at the level of individual microfilaments, it contributes to the fine balance of forces between the two halves of the sarcomere. The size and extensibility of the cross-links are the main determinants of sarcomere extensibility properties of muscle. In non-muscle cells, seems to play a role in chromosome condensation and chromosome segregation during mitosis. Might link the lamina network to chromatin or nuclear actin, or both during interphase. {ECO:0000269|PubMed:9804419}.; </t>
  </si>
  <si>
    <t xml:space="preserve">DISEASE: Hereditary myopathy with early respiratory failure (HMERF) [MIM:603689]: Autosomal dominant, adult-onset myopathy with early respiratory muscle involvement. {ECO:0000269|PubMed:15802564}. Note=The disease is caused by mutations affecting the gene represented in this entry.; DISEASE: Cardiomyopathy, familial hypertrophic 9 (CMH9) [MIM:613765]: A hereditary heart disorder characterized by ventricular hypertrophy, which is usually asymmetric and often involves the interventricular septum. The symptoms include dyspnea, syncope, collapse, palpitations, and chest pain. They can be readily provoked by exercise. The disorder has inter- and intrafamilial variability ranging from benign to malignant forms with high risk of cardiac failure and sudden cardiac death. {ECO:0000269|PubMed:10462489}. Note=The disease is caused by mutations affecting the gene represented in this entry.; DISEASE: Cardiomyopathy, dilated 1G (CMD1G) [MIM:604145]: A disorder characterized by ventricular dilation and impaired systolic function, resulting in congestive heart failure and arrhythmia. Patients are at risk of premature death. {ECO:0000269|PubMed:11788824, ECO:0000269|PubMed:11846417, ECO:0000269|PubMed:16465475}. Note=The disease is caused by mutations affecting the gene represented in this entry.; DISEASE: Tardive tibial muscular dystrophy (TMD) [MIM:600334]: Autosomal dominant, late-onset distal myopathy. Muscle weakness and atrophy are usually confined to the anterior compartment of the lower leg, in particular the tibialis anterior muscle. Clinical symptoms usually occur at age 35-45 years or much later. {ECO:0000269|PubMed:12145747, ECO:0000269|PubMed:12891679}. Note=The disease is caused by mutations affecting the gene represented in this entry.; DISEASE: Limb-girdle muscular dystrophy 2J (LGMD2J) [MIM:608807]: An autosomal recessive degenerative myopathy characterized by progressive weakness of the pelvic and shoulder girdle muscles. Severe disability is observed within 20 years of onset. {ECO:0000269|PubMed:12145747}. Note=The disease is caused by mutations affecting the gene represented in this entry.; DISEASE: Early-onset myopathy with fatal cardiomyopathy (EOMFC) [MIM:611705]: Early-onset myopathies are inherited muscle disorders that manifest typically from birth or infancy with hypotonia, muscle weakness, and delayed motor development. EOMFC is a titinopathy that, in contrast with the previously described examples, involves both heart and skeletal muscle, has a congenital onset, and is purely recessive. This phenotype is due to homozygous out-of-frame TTN deletions, which lead to a total absence of titin's C-terminal end from striated muscles and to secondary CAPN3 depletion. {ECO:0000269|PubMed:17444505}. Note=The disease is caused by mutations affecting the gene represented in this entry.; </t>
  </si>
  <si>
    <t xml:space="preserve">1306.64</t>
  </si>
  <si>
    <t xml:space="preserve">108</t>
  </si>
  <si>
    <t xml:space="preserve">54,54</t>
  </si>
  <si>
    <t xml:space="preserve">0.00528348188155799</t>
  </si>
  <si>
    <t xml:space="preserve">tubulin gamma complex associated protein 4</t>
  </si>
  <si>
    <t xml:space="preserve">FUNCTION: Gamma-tubulin complex is necessary for microtubule nucleation at the centrosome.; </t>
  </si>
  <si>
    <t xml:space="preserve">490.64</t>
  </si>
  <si>
    <t xml:space="preserve">47</t>
  </si>
  <si>
    <t xml:space="preserve">29,18</t>
  </si>
  <si>
    <t xml:space="preserve">0.0817830150318557</t>
  </si>
  <si>
    <t xml:space="preserve">cytochrome P450 family 2 subfamily U member 1</t>
  </si>
  <si>
    <t xml:space="preserve">FUNCTION: Catalyzes the hydroxylation of arachidonic acid, docosahexaenoic acid and other long chain fatty acids. May modulate the arachidonic acid signaling pathway and play a role in other fatty acid signaling processes. {ECO:0000269|PubMed:14660610}.; </t>
  </si>
  <si>
    <t xml:space="preserve">DISEASE: Spastic paraplegia 56, autosomal recessive (SPG56) [MIM:615030]: A form of spastic paraplegia, a neurodegenerative disorder characterized by a slow, gradual, progressive weakness and spasticity of the lower limbs. Rate of progression and the severity of symptoms are quite variable. Initial symptoms may include difficulty with balance, weakness and stiffness in the legs, muscle spasms, and dragging the toes when walking. Complicated forms are recognized by additional variable features including spastic quadriparesis, seizures, dementia, amyotrophy, extrapyramidal disturbance, cerebral or cerebellar atrophy, optic atrophy, and peripheral neuropathy, as well as by extra neurological manifestations. In SPG56, upper limbs are often also affected. Some SPG56 patients may have a subclinical axonal neuropathy. {ECO:0000269|PubMed:23176821}. Note=The disease is caused by mutations affecting the gene represented in this entry.; </t>
  </si>
  <si>
    <t xml:space="preserve">1518.64</t>
  </si>
  <si>
    <t xml:space="preserve">138</t>
  </si>
  <si>
    <t xml:space="preserve">73,65</t>
  </si>
  <si>
    <t xml:space="preserve">ANKRD30A:NM_052997:exon3:c.G328T:p.E110X;ANKRD30A:uc001iza.1:exon3:c.G328T:p.E110X,ANKRD30A:uc021ppc.1:exon3:c.G328T:p.E110X;ENSG00000148513:ENST00000361713:exon3:c.G328T:p.E110X,ENSG00000148513:ENST00000374660:exon3:c.G328T:p.E110X,ENSG00000148513:ENST00000602533:exon3:c.G328T:p.E110X</t>
  </si>
  <si>
    <t xml:space="preserve">1.26066166278999e-23</t>
  </si>
  <si>
    <t xml:space="preserve">ankyrin repeat domain 30A</t>
  </si>
  <si>
    <t xml:space="preserve">136.64</t>
  </si>
  <si>
    <t xml:space="preserve">117</t>
  </si>
  <si>
    <t xml:space="preserve">100,17</t>
  </si>
  <si>
    <t xml:space="preserve">FAM25C:NM_001137548:exon1:c.G64T:p.E22X,FAM25G:NM_001137549:exon1:c.G64T:p.E22X;FAM25C:uc010qgj.2:exon1:c.G64T:p.E22X;ENSG00000188279:ENST00000342763:exon1:c.G64T:p.E22X</t>
  </si>
  <si>
    <t xml:space="preserve">2/4</t>
  </si>
  <si>
    <t xml:space="preserve">family with sequence similarity 25 member C;family with sequence similarity 25 member G</t>
  </si>
  <si>
    <t xml:space="preserve">313.64</t>
  </si>
  <si>
    <t xml:space="preserve">248</t>
  </si>
  <si>
    <t xml:space="preserve">211,37</t>
  </si>
  <si>
    <t xml:space="preserve">CTBP2:NM_001321013:exon2:c.C37T:p.R13X,CTBP2:NM_001083914:exon3:c.C37T:p.R13X,CTBP2:NM_001290214:exon3:c.C37T:p.R13X,CTBP2:NM_001290215:exon3:c.C37T:p.R13X,CTBP2:NM_001321012:exon3:c.C37T:p.R13X,CTBP2:NM_001321014:exon3:c.C37T:p.R13X,CTBP2:NM_001329:exon3:c.C37T:p.R13X;CTBP2:uc001lif.4:exon3:c.C37T:p.R13X,CTBP2:uc001lih.4:exon3:c.C37T:p.R13X,CTBP2:uc009yak.3:exon3:c.C37T:p.R13X,CTBP2:uc009yal.3:exon3:c.C37T:p.R13X;ENSG00000175029:ENST00000337195:exon3:c.C37T:p.R13X,ENSG00000175029:ENST00000411419:exon3:c.C37T:p.R13X,ENSG00000175029:ENST00000494626:exon3:c.C37T:p.R13X,ENSG00000175029:ENST00000531469:exon3:c.C37T:p.R13X</t>
  </si>
  <si>
    <t xml:space="preserve">0.655184958473335</t>
  </si>
  <si>
    <t xml:space="preserve">C-terminal binding protein 2</t>
  </si>
  <si>
    <t xml:space="preserve">FUNCTION: Corepressor targeting diverse transcription regulators. Functions in brown adipose tissue (BAT) differentiation (By similarity). {ECO:0000250}.; </t>
  </si>
  <si>
    <t xml:space="preserve">5478.64</t>
  </si>
  <si>
    <t xml:space="preserve">254</t>
  </si>
  <si>
    <t xml:space="preserve">112,142</t>
  </si>
  <si>
    <t xml:space="preserve">CTBP2:NM_001321013:exon2:c.A22T:p.K8X,CTBP2:NM_001083914:exon3:c.A22T:p.K8X,CTBP2:NM_001290214:exon3:c.A22T:p.K8X,CTBP2:NM_001290215:exon3:c.A22T:p.K8X,CTBP2:NM_001321012:exon3:c.A22T:p.K8X,CTBP2:NM_001321014:exon3:c.A22T:p.K8X,CTBP2:NM_001329:exon3:c.A22T:p.K8X;CTBP2:uc001lif.4:exon3:c.A22T:p.K8X,CTBP2:uc001lih.4:exon3:c.A22T:p.K8X,CTBP2:uc009yak.3:exon3:c.A22T:p.K8X,CTBP2:uc009yal.3:exon3:c.A22T:p.K8X;ENSG00000175029:ENST00000337195:exon3:c.A22T:p.K8X,ENSG00000175029:ENST00000411419:exon3:c.A22T:p.K8X,ENSG00000175029:ENST00000494626:exon3:c.A22T:p.K8X,ENSG00000175029:ENST00000531469:exon3:c.A22T:p.K8X</t>
  </si>
  <si>
    <t xml:space="preserve">63.04</t>
  </si>
  <si>
    <t xml:space="preserve">124</t>
  </si>
  <si>
    <t xml:space="preserve">100,24</t>
  </si>
  <si>
    <t xml:space="preserve">CTDSP2:NM_005730:exon7:c.G636A:p.K212K;uc009zqg.3:exon3:c.118-1G&gt;A;CTDSP2:uc010ssg.2:exon2:c.G258A:p.K86K,CTDSP2:uc001sqm.3:exon7:c.G636A:p.K212K,CTDSP2:uc009zqf.3:exon7:c.G180A:p.K60K;ENST00000548823:exon3:c.118-1G&gt;A;ENSG00000175215:ENST00000549039:exon3:c.G198A:p.K66K,ENSG00000175215:ENST00000398073:exon7:c.G636A:p.K212K,ENSG00000175215:ENST00000547701:exon7:c.G180A:p.K60K</t>
  </si>
  <si>
    <t xml:space="preserve">0.397665011331897</t>
  </si>
  <si>
    <t xml:space="preserve">CTD small phosphatase 2</t>
  </si>
  <si>
    <t xml:space="preserve">FUNCTION: Preferentially catalyzes the dephosphorylation of 'Ser- 5' within the tandem 7 residue repeats in the C-terminal domain (CTD) of the largest RNA polymerase II subunit POLR2A. Negatively regulates RNA polymerase II transcription, possibly by controlling the transition from initiation/capping to processive transcript elongation. Recruited by REST to neuronal genes that contain RE-1 elements, leading to neuronal gene silencing in non-neuronal cells. May contribute to the development of sarcomas. {ECO:0000269|PubMed:12721286, ECO:0000269|PubMed:15681389}.; </t>
  </si>
  <si>
    <t xml:space="preserve">chr13</t>
  </si>
  <si>
    <t xml:space="preserve">1569.64</t>
  </si>
  <si>
    <t xml:space="preserve">130</t>
  </si>
  <si>
    <t xml:space="preserve">61,69</t>
  </si>
  <si>
    <t xml:space="preserve">startloss</t>
  </si>
  <si>
    <t xml:space="preserve">KBTBD7:NM_032138:exon1:c.T2C:p.M1?;KBTBD7:uc001uxw.1:exon1:c.T2C:p.M1?;ENSG00000120696:ENST00000379483:exon1:c.T2C:p.M1?</t>
  </si>
  <si>
    <t xml:space="preserve">4/9</t>
  </si>
  <si>
    <t xml:space="preserve">0.223860925044712</t>
  </si>
  <si>
    <t xml:space="preserve">kelch repeat and BTB domain containing 7</t>
  </si>
  <si>
    <t xml:space="preserve">1199.64</t>
  </si>
  <si>
    <t xml:space="preserve">107</t>
  </si>
  <si>
    <t xml:space="preserve">56,51</t>
  </si>
  <si>
    <t xml:space="preserve">ADPGK:NM_001365223:exon5:c.C316T:p.R106X,ADPGK:NM_001365225:exon5:c.C682T:p.R228X,ADPGK:NM_001365226:exon5:c.C316T:p.R106X,ADPGK:NM_031284:exon5:c.C682T:p.R228X;ADPGK:uc010ukw.2:exon4:c.C508T:p.R170X,ADPGK:uc002avf.4:exon5:c.C682T:p.R228X,ADPGK:uc002avg.4:exon5:c.C682T:p.R228X,ADPGK:uc002avi.4:exon5:c.C316T:p.R106X;ENSG00000159322:ENST00000311669:exon5:c.C682T:p.R228X,ENSG00000159322:ENST00000565814:exon5:c.C316T:p.R106X</t>
  </si>
  <si>
    <t xml:space="preserve">0.0221562951088713</t>
  </si>
  <si>
    <t xml:space="preserve">ADP-dependent glucokinase</t>
  </si>
  <si>
    <t xml:space="preserve">FUNCTION: Catalyzes the phosphorylation of D-glucose to D-glucose 6-phosphate using ADP as the phosphate donor. GDP and CDP can replace ADP, but with reduced efficiency (By similarity). {ECO:0000250}.; </t>
  </si>
  <si>
    <t xml:space="preserve">1504.64</t>
  </si>
  <si>
    <t xml:space="preserve">127</t>
  </si>
  <si>
    <t xml:space="preserve">67,60</t>
  </si>
  <si>
    <t xml:space="preserve">ZNF780A:NM_001010880:exon6:c.C943T:p.R315X,ZNF780A:NM_001142577:exon6:c.C946T:p.R316X,ZNF780A:NM_001142578:exon6:c.C943T:p.R315X;ZNF780A:uc002omy.3:exon6:c.C943T:p.R315X,ZNF780A:uc002omz.3:exon6:c.C943T:p.R315X,ZNF780A:uc010xvh.2:exon6:c.C946T:p.R316X;ENSG00000197782:ENST00000594395:exon5:c.C946T:p.R316X,ENSG00000197782:ENST00000450241:exon6:c.C841T:p.R281X,ENSG00000197782:ENST00000455521:exon6:c.C946T:p.R316X,ENSG00000197782:ENST00000595687:exon6:c.C943T:p.R315X,ENSG00000197782:ENST00000340963:exon7:c.C943T:p.R315X</t>
  </si>
  <si>
    <t xml:space="preserve">1.73286195326953e-06</t>
  </si>
  <si>
    <t xml:space="preserve">zinc finger protein 780A</t>
  </si>
  <si>
    <t xml:space="preserve">610.64</t>
  </si>
  <si>
    <t xml:space="preserve">53</t>
  </si>
  <si>
    <t xml:space="preserve">29,24</t>
  </si>
  <si>
    <t xml:space="preserve">PDIA6:NM_005742:exon7:c.G697A:p.G233R,PDIA6:NM_001282705:exon8:c.G841A:p.G281R,PDIA6:NM_001282706:exon8:c.G712A:p.G238R,PDIA6:NM_001282707:exon8:c.G688A:p.G230R,PDIA6:NM_001282704:exon9:c.G853A:p.G285R;PDIA6:uc002rau.3:exon7:c.G697A:p.G233R,PDIA6:uc002raw.3:exon8:c.G841A:p.G281R,PDIA6:uc010yjg.2:exon8:c.G688A:p.G230R,PDIA6:uc010yjh.2:exon8:c.G712A:p.G238R,PDIA6:uc002rav.3:exon9:c.G853A:p.G285R;ENSG00000143870:ENST00000272227:exon7:c.G697A:p.G233R,ENSG00000143870:ENST00000381611:exon8:c.G712A:p.G238R,ENSG00000143870:ENST00000404824:exon8:c.G841A:p.G281R,ENSG00000143870:ENST00000540494:exon8:c.G688A:p.G230R,ENSG00000143870:ENST00000404371:exon9:c.G853A:p.G285R</t>
  </si>
  <si>
    <t xml:space="preserve">0.120591091840199</t>
  </si>
  <si>
    <t xml:space="preserve">protein disulfide isomerase family A member 6</t>
  </si>
  <si>
    <t xml:space="preserve">FUNCTION: May function as a chaperone that inhibits aggregation of misfolded proteins. Plays a role in platelet aggregation and activation by agonists such as convulxin, collagen and thrombin. {ECO:0000269|PubMed:12204115, ECO:0000269|PubMed:15466936}.; </t>
  </si>
  <si>
    <t xml:space="preserve">474.64</t>
  </si>
  <si>
    <t xml:space="preserve">105,19</t>
  </si>
  <si>
    <t xml:space="preserve">exonic;intergenic</t>
  </si>
  <si>
    <t xml:space="preserve">ANKRD36C:NM_001310154:exon85:c.C6115T:p.Q2039X;dist=26859;dist=2168;ENSG00000174501:ENST00000420871:exon55:c.C2770T:p.Q924X,ENSG00000174501:ENST00000419039:exon56:c.C2098T:p.Q700X,ENSG00000174501:ENST00000456556:exon64:c.C5017T:p.Q1673X</t>
  </si>
  <si>
    <t xml:space="preserve">10</t>
  </si>
  <si>
    <t xml:space="preserve">ankyrin repeat domain 36C</t>
  </si>
  <si>
    <t xml:space="preserve">860.64</t>
  </si>
  <si>
    <t xml:space="preserve">799</t>
  </si>
  <si>
    <t xml:space="preserve">683,116</t>
  </si>
  <si>
    <t xml:space="preserve">downstream;exonic</t>
  </si>
  <si>
    <t xml:space="preserve">ANKRD36C:NM_001310154:exon84:c.C5770T:p.Q1924X;dist=419;ENSG00000174501:ENST00000420871:exon54:c.C2425T:p.Q809X,ENSG00000174501:ENST00000419039:exon55:c.C1753T:p.Q585X,ENSG00000174501:ENST00000456556:exon63:c.C4672T:p.Q1558X</t>
  </si>
  <si>
    <t xml:space="preserve">883.64</t>
  </si>
  <si>
    <t xml:space="preserve">59,38</t>
  </si>
  <si>
    <t xml:space="preserve">ELMO2:NM_182764:exon17:c.A1692G:p.Q564Q,ELMO2:NM_001318253:exon18:c.A1428G:p.Q476Q,ELMO2:NM_133171:exon18:c.A1692G:p.Q564Q;ELMO2:uc002xrv.1:exon7:c.A849G:p.Q283Q,ELMO2:uc002xrs.1:exon8:c.A933G:p.Q311Q,ELMO2:uc010zxq.1:exon8:c.A888G:p.Q296Q,ELMO2:uc010zxs.1:exon16:c.A1143G:p.Q381Q,ELMO2:uc002xru.1:exon17:c.A1692G:p.Q564Q,ELMO2:uc002xrt.1:exon18:c.A1692G:p.Q564Q,ELMO2:uc010zxr.1:exon19:c.A1728G:p.Q576Q;ENSG00000062598:ENST00000452857:exon3:c.A393G:p.Q131Q,ENSG00000062598:ENST00000454865:exon8:c.A888G:p.Q296Q,ENSG00000062598:ENST00000352077:exon16:c.A1686G:p.Q562Q,ENSG00000062598:ENST00000445496:exon16:c.A1143G:p.Q381Q,ENSG00000062598:ENST00000396391:exon17:c.A1692G:p.Q564Q,ENSG00000062598:ENST00000290246:exon18:c.A1692G:p.Q564Q,ENSG00000062598:ENST00000372176:exon18:c.A1428G:p.Q476Q,ENSG00000062598:ENST00000439931:exon19:c.A1728G:p.Q576Q</t>
  </si>
  <si>
    <t xml:space="preserve">0.000350882321256971</t>
  </si>
  <si>
    <t xml:space="preserve">engulfment and cell motility 2</t>
  </si>
  <si>
    <t xml:space="preserve">FUNCTION: Involved in cytoskeletal rearrangements required for phagocytosis of apoptotic cells and cell motility. Acts in assocation with DOCK1 and CRK. Was initially proposed to be required in complex with DOCK1 to activate Rac Rho small GTPases. May enhance the guanine nucleotide exchange factor (GEF) activity of DOCK1. {ECO:0000269|PubMed:11595183, ECO:0000269|PubMed:11703939, ECO:0000269|PubMed:20679435}.; </t>
  </si>
  <si>
    <t xml:space="preserve">1554.64</t>
  </si>
  <si>
    <t xml:space="preserve">51,65</t>
  </si>
  <si>
    <t xml:space="preserve">CAPN7:NM_014296:exon19:c.C2095T:p.Q699X;CAPN7:uc003bzn.3:exon19:c.C2095T:p.Q699X;ENSG00000131375:ENST00000253693:exon19:c.C2095T:p.Q699X</t>
  </si>
  <si>
    <t xml:space="preserve">2/3</t>
  </si>
  <si>
    <t xml:space="preserve">5.28615018685299e-07</t>
  </si>
  <si>
    <t xml:space="preserve">calpain 7</t>
  </si>
  <si>
    <t xml:space="preserve">FUNCTION: Calcium-regulated non-lysosomal thiol-protease. {ECO:0000250}.; </t>
  </si>
  <si>
    <t xml:space="preserve">1159.64</t>
  </si>
  <si>
    <t xml:space="preserve">90</t>
  </si>
  <si>
    <t xml:space="preserve">38,52</t>
  </si>
  <si>
    <t xml:space="preserve">nonsynonymous SNV;startloss</t>
  </si>
  <si>
    <t xml:space="preserve">CAMP:NM_004345:exon1:c.T2C:p.M1?;CAMP:uc003csj.3:exon1:c.T11C:p.M4T;ENSG00000164047:ENST00000296435:exon1:c.T11C:p.M4T,ENSG00000164047:ENST00000576243:exon1:c.T2C:p.M1?</t>
  </si>
  <si>
    <t xml:space="preserve">4/6</t>
  </si>
  <si>
    <t xml:space="preserve">0.0896557021569683</t>
  </si>
  <si>
    <t xml:space="preserve">cathelicidin antimicrobial peptide</t>
  </si>
  <si>
    <t xml:space="preserve">FUNCTION: Binds to bacterial lipopolysaccharides (LPS), has antibacterial activity. {ECO:0000269|PubMed:16637646, ECO:0000269|PubMed:18818205}.; </t>
  </si>
  <si>
    <t xml:space="preserve">284.64</t>
  </si>
  <si>
    <t xml:space="preserve">89</t>
  </si>
  <si>
    <t xml:space="preserve">71,18</t>
  </si>
  <si>
    <t xml:space="preserve">SLC9B1:NM_001100874:exon11:c.A1318T:p.K440X,SLC9B1:NM_139173:exon11:c.A1318T:p.K440X;SLC9B1:uc011cev.2:exon8:c.A637T:p.K213X,SLC9B1:uc010ilm.3:exon10:c.A619T:p.K207X,SLC9B1:uc003hwu.3:exon11:c.A1318T:p.K440X,SLC9B1:uc003hww.3:exon11:c.A1318T:p.K440X;ENSG00000164037:ENST00000296422:exon11:c.A1318T:p.K440X,ENSG00000164037:ENST00000394789:exon11:c.A1318T:p.K440X</t>
  </si>
  <si>
    <t xml:space="preserve">8.48795187528449e-05</t>
  </si>
  <si>
    <t xml:space="preserve">solute carrier family 9 member B1</t>
  </si>
  <si>
    <t xml:space="preserve">1516.64</t>
  </si>
  <si>
    <t xml:space="preserve">60,70</t>
  </si>
  <si>
    <t xml:space="preserve">AASS:NM_005763:exon24:c.C2728T:p.R910X;AASS:uc011knw.2:exon13:c.C1192T:p.R398X,AASS:uc003vka.3:exon23:c.C2728T:p.R910X,AASS:uc003vkb.3:exon24:c.C2728T:p.R910X;ENSG00000008311:ENST00000393376:exon23:c.C2728T:p.R910X,ENSG00000008311:ENST00000417368:exon24:c.C2728T:p.R910X</t>
  </si>
  <si>
    <t xml:space="preserve">1.35531507533066e-06</t>
  </si>
  <si>
    <t xml:space="preserve">aminoadipate-semialdehyde synthase</t>
  </si>
  <si>
    <t xml:space="preserve">FUNCTION: Bifunctional enzyme that catalyzes the first two steps in lysine degradation. The N-terminal and the C-terminal contain lysine-ketoglutarate reductase and saccharopine dehydrogenase activity, respectively.; </t>
  </si>
  <si>
    <t xml:space="preserve">DISEASE: Hyperlysinemia, 1 (HYPLYS1) [MIM:238700]: An autosomal recessive metabolic condition with variable clinical features. Some patients present with non-specific seizures, hypotonia, or mildly delayed psychomotor development, and increased serum lysine and pipecolic acid on laboratory analysis. However, about half of the probands are reported to be asymptomatic, and hyperlysinemia is generally considered to be a benign metabolic variant. {ECO:0000269|PubMed:10775527}. Note=The disease is caused by mutations affecting the gene represented in this entry.; DISEASE: 2,4-dienoyl-CoA reductase deficiency (DECRD) [MIM:616034]: A rare, autosomal recessive, inborn error of polyunsaturated fatty acids and lysine metabolism, resulting in mitochondrial dysfunction. Affected individuals have a severe encephalopathy with neurologic and metabolic abnormalities beginning in early infancy. Laboratory studies show increased C10:2 carnitine levels and hyperlysinemia. {ECO:0000269|PubMed:24847004}. Note=The protein represented in this entry is involved in disease pathogenesis. A selective decrease in mitochondrial NADP(H) levels due to NADK2 mutations causes a deficiency of NADPH-dependent mitochondrial enzymes, such as DECR1 and AASS. {ECO:0000269|PubMed:24847004}.; </t>
  </si>
  <si>
    <t xml:space="preserve">chr8</t>
  </si>
  <si>
    <t xml:space="preserve">1128.64</t>
  </si>
  <si>
    <t xml:space="preserve">83</t>
  </si>
  <si>
    <t xml:space="preserve">42,41</t>
  </si>
  <si>
    <t xml:space="preserve">TMEM249:NM_001252404:exon2:c.C343T:p.R115X;TMEM249:uc010mfw.3:exon2:c.C343T:p.R115X;ENSG00000214597:ENST00000526263:exon2:c.C343T:p.R115X</t>
  </si>
  <si>
    <t xml:space="preserve">0/2</t>
  </si>
  <si>
    <t xml:space="preserve">0.341068399494477</t>
  </si>
  <si>
    <t xml:space="preserve">transmembrane protein 249</t>
  </si>
  <si>
    <t xml:space="preserve">351.64</t>
  </si>
  <si>
    <t xml:space="preserve">128</t>
  </si>
  <si>
    <t xml:space="preserve">105,23</t>
  </si>
  <si>
    <t xml:space="preserve">exonic;ncRNA_exonic</t>
  </si>
  <si>
    <t xml:space="preserve">SPATA31C1:NM_001145124:exon4:c.C3421T:p.Q1141X;SPATA31C1:uc010mqi.3:exon4:c.C3421T:p.Q1141X,SPATA31C1:uc004apq.4:exon6:c.C3370T:p.Q1124X</t>
  </si>
  <si>
    <t xml:space="preserve">SPATA31 subfamily C, member 1</t>
  </si>
  <si>
    <t xml:space="preserve">FUNCTION: May play a role in spermatogenesis. {ECO:0000250}.; </t>
  </si>
  <si>
    <t xml:space="preserve">5308.64</t>
  </si>
  <si>
    <t xml:space="preserve">234</t>
  </si>
  <si>
    <t xml:space="preserve">100,134</t>
  </si>
  <si>
    <t xml:space="preserve">IGSF3:NM_001007237:exon7:c.G1724A:p.W575X,IGSF3:NM_001542:exon8:c.G1784A:p.W595X;IGSF3:uc001egs.1:exon3:c.G743A:p.W248X,IGSF3:uc001egr.2:exon7:c.G1724A:p.W575X,IGSF3:uc031pnr.1:exon7:c.G1784A:p.W595X;ENSG00000143061:ENST00000318837:exon7:c.G1784A:p.W595X,ENSG00000143061:ENST00000369486:exon7:c.G1724A:p.W575X,ENSG00000143061:ENST00000369483:exon8:c.G1784A:p.W595X</t>
  </si>
  <si>
    <t xml:space="preserve">0.987084919325614</t>
  </si>
  <si>
    <t xml:space="preserve">immunoglobulin superfamily member 3</t>
  </si>
  <si>
    <t xml:space="preserve">1700.64</t>
  </si>
  <si>
    <t xml:space="preserve">165</t>
  </si>
  <si>
    <t xml:space="preserve">116,49</t>
  </si>
  <si>
    <t xml:space="preserve">IGSF3:NM_001007237:exon4:c.C634T:p.Q212X,IGSF3:NM_001542:exon4:c.C634T:p.Q212X;IGSF3:uc031pnr.1:exon3:c.C634T:p.Q212X,IGSF3:uc001egr.2:exon4:c.C634T:p.Q212X;ENSG00000143061:ENST00000318837:exon3:c.C634T:p.Q212X,ENSG00000143061:ENST00000369483:exon4:c.C634T:p.Q212X,ENSG00000143061:ENST00000369486:exon4:c.C634T:p.Q212X</t>
  </si>
  <si>
    <t xml:space="preserve">1584.64</t>
  </si>
  <si>
    <t xml:space="preserve">50,67</t>
  </si>
  <si>
    <t xml:space="preserve">RAD54L:NM_001370766:exon7:c.C64T:p.R22C,RAD54L:NM_003579:exon7:c.C604T:p.R202C,RAD54L:NM_001142548:exon8:c.C604T:p.R202C;RAD54L:uc001cpl.2:exon7:c.C604T:p.R202C,RAD54L:uc009vye.2:exon8:c.C604T:p.R202C;ENSG00000085999:ENST00000371975:exon7:c.C604T:p.R202C,ENSG00000085999:ENST00000442598:exon8:c.C604T:p.R202C,ENSG00000085999:ENST00000469835:exon8:c.C604T:p.R202C</t>
  </si>
  <si>
    <t xml:space="preserve">2.73718135268854e-13</t>
  </si>
  <si>
    <t xml:space="preserve">RAD54-like (S. cerevisiae)</t>
  </si>
  <si>
    <t xml:space="preserve">FUNCTION: Involved in DNA repair and mitotic recombination. Functions in the recombinational DNA repair (RAD52) pathway. Dissociates RAD51 from nucleoprotein filaments formed on dsDNA. Could be involved in the turnover of RAD51 protein-dsDNA filaments (By similarity). May play also an essential role in telomere length maintenance and telomere capping in mammalian cells. {ECO:0000250, ECO:0000269|PubMed:11459989, ECO:0000269|PubMed:12205100, ECO:0000269|PubMed:9774452}.; </t>
  </si>
  <si>
    <t xml:space="preserve">285.64</t>
  </si>
  <si>
    <t xml:space="preserve">183</t>
  </si>
  <si>
    <t xml:space="preserve">156,27</t>
  </si>
  <si>
    <t xml:space="preserve">IGSF3:NM_001007237:exon3:c.G225A:p.M75I,IGSF3:NM_001542:exon3:c.G225A:p.M75I;IGSF3:uc031pnr.1:exon2:c.G225A:p.M75I,IGSF3:uc001egr.2:exon3:c.G225A:p.M75I;ENSG00000143061:ENST00000318837:exon2:c.G225A:p.M75I,ENSG00000143061:ENST00000481589:exon2:c.G3A:p.M1I,ENSG00000143061:ENST00000369483:exon3:c.G225A:p.M75I,ENSG00000143061:ENST00000369486:exon3:c.G225A:p.M75I</t>
  </si>
  <si>
    <t xml:space="preserve">1/12</t>
  </si>
  <si>
    <t xml:space="preserve">1379.64</t>
  </si>
  <si>
    <t xml:space="preserve">101</t>
  </si>
  <si>
    <t xml:space="preserve">46,55</t>
  </si>
  <si>
    <t xml:space="preserve">TJP1:NM_001355013:exon1:c.A1G:p.M1?,TJP1:NM_001301026:exon2:c.A1G:p.M1?;TJP1:uc001zcq.3:exon2:c.A1G:p.M1?;ENSG00000104067:ENST00000400011:exon2:c.A1G:p.M1?</t>
  </si>
  <si>
    <t xml:space="preserve">2/8</t>
  </si>
  <si>
    <t xml:space="preserve">0.999999982283293</t>
  </si>
  <si>
    <t xml:space="preserve">tight junction protein 1</t>
  </si>
  <si>
    <t xml:space="preserve">FUNCTION: The N-terminal may be involved in transducing a signal required for tight junction assembly, while the C-terminal may have specific properties of tight junctions. The alpha domain might be involved in stabilizing junctions. Plays a role in the regulation of cell migration by targeting CDC42BPB to the leading edge of migrating cells. {ECO:0000269|PubMed:21240187}.; </t>
  </si>
  <si>
    <t xml:space="preserve">2355.64</t>
  </si>
  <si>
    <t xml:space="preserve">205</t>
  </si>
  <si>
    <t xml:space="preserve">106,99</t>
  </si>
  <si>
    <t xml:space="preserve">0.415938846926224</t>
  </si>
  <si>
    <t xml:space="preserve">ubiquitin conjugating enzyme E2 J2</t>
  </si>
  <si>
    <t xml:space="preserve">FUNCTION: Catalyzes the covalent attachment of ubiquitin to other proteins. Seems to function in the selective degradation of misfolded membrane proteins from the endoplasmic reticulum (ERAD). {ECO:0000255|PROSITE-ProRule:PRU00388}.; </t>
  </si>
  <si>
    <t xml:space="preserve">466.64</t>
  </si>
  <si>
    <t xml:space="preserve">48</t>
  </si>
  <si>
    <t xml:space="preserve">29,19</t>
  </si>
  <si>
    <t xml:space="preserve">UTR5;intronic</t>
  </si>
  <si>
    <t xml:space="preserve">uc031pla.1:c.-540C&gt;A</t>
  </si>
  <si>
    <t xml:space="preserve">0.448738853101197</t>
  </si>
  <si>
    <t xml:space="preserve">tumor necrosis factor receptor superfamily member 25</t>
  </si>
  <si>
    <t xml:space="preserve">FUNCTION: Receptor for TNFSF12/APO3L/TWEAK. Interacts directly with the adapter TRADD. Mediates activation of NF-kappa-B and induces apoptosis. May play a role in regulating lymphocyte homeostasis.; </t>
  </si>
  <si>
    <t xml:space="preserve">316.64</t>
  </si>
  <si>
    <t xml:space="preserve">25</t>
  </si>
  <si>
    <t xml:space="preserve">13,12</t>
  </si>
  <si>
    <t xml:space="preserve">ubiquitin protein ligase E3 component n-recognin 4</t>
  </si>
  <si>
    <t xml:space="preserve">FUNCTION: E3 ubiquitin-protein ligase which is a component of the N-end rule pathway. Recognizes and binds to proteins bearing specific N-terminal residues that are destabilizing according to the N-end rule, leading to their ubiquitination and subsequent degradation. Together with clathrin, forms meshwork structures involved in membrane morphogenesis and cytoskeletal organization. Regulates integrin-mediated signaling. May play a role in activation of FAK in response to cell-matrix interactions. Mediates ubiquitination of ACLY, leading to its subsequent degradation. {ECO:0000269|PubMed:16214886, ECO:0000269|PubMed:23932781}.; </t>
  </si>
  <si>
    <t xml:space="preserve">459.64</t>
  </si>
  <si>
    <t xml:space="preserve">35</t>
  </si>
  <si>
    <t xml:space="preserve">17,18</t>
  </si>
  <si>
    <t xml:space="preserve">exonic;intronic</t>
  </si>
  <si>
    <t xml:space="preserve">USP48:uc001bfd.1:exon5:c.A457G:p.I153V</t>
  </si>
  <si>
    <t xml:space="preserve">0.999997429389181</t>
  </si>
  <si>
    <t xml:space="preserve">ubiquitin specific peptidase 48</t>
  </si>
  <si>
    <t xml:space="preserve">FUNCTION: Recognizes and hydrolyzes the peptide bond at the C- terminal Gly of ubiquitin. Involved in the processing of poly- ubiquitin precursors as well as that of ubiquitinated proteins. May be involved in the regulation of NF-kappa-B activation by TNF receptor superfamily via its interactions with RELA and TRAF2. May also play a regulatory role at postsynaptic sites. {ECO:0000269|PubMed:16214042}.; </t>
  </si>
  <si>
    <t xml:space="preserve">1046.64</t>
  </si>
  <si>
    <t xml:space="preserve">67</t>
  </si>
  <si>
    <t xml:space="preserve">26,41</t>
  </si>
  <si>
    <t xml:space="preserve">intronic;ncRNA_exonic</t>
  </si>
  <si>
    <t xml:space="preserve">0.573989459299218</t>
  </si>
  <si>
    <t xml:space="preserve">ST3 beta-galactoside alpha-2,3-sialyltransferase 3</t>
  </si>
  <si>
    <t xml:space="preserve">FUNCTION: Catalyzes the formation of the NeuAc-alpha-2,3-Gal-beta- 1,4-GlcNAc-, NeuAc-alpha-2,3-Gal-beta-1,3-GlcNAc- or NeuAc-alpha- 2,3-Gal-beta-1,3-GalNAc- sequences found in terminal carbohydrate groups of glycoproteins and glycolipids. The highest activity is toward Gal-beta-1,3-GlcNAc and the lowest toward Gal-beta-1,3- GalNAc (By similarity). {ECO:0000250}.; </t>
  </si>
  <si>
    <t xml:space="preserve">DISEASE: Mental retardation, autosomal recessive 12 (MRT12) [MIM:611090]: A disorder characterized by significantly below average general intellectual functioning associated with impairments in adaptive behavior and manifested during the developmental period. {ECO:0000269|PubMed:21907012}. Note=The disease is caused by mutations affecting the gene represented in this entry.; DISEASE: Epileptic encephalopathy, early infantile, 15 (EIEE15) [MIM:615006]: A form of epilepsy that manifests in the neonatal or the early infantile period as severely impaired cognitive and motor development, due to recurrent clinical seizures or prominent interictal epileptiform discharges. Patients develop infantile spasms, mainly of the flexor type, between 3 and 7 months of age, which are accompanied by hypsarrhythmia on EEG. Other features include poor eye contact, hypotonia, primitive reflexes, and irritability. Seizures evolve clinically to Lennox-Gastaut syndrome. {ECO:0000269|PubMed:23252400}. Note=The disease is caused by mutations affecting the gene represented in this entry.; </t>
  </si>
  <si>
    <t xml:space="preserve">378.64</t>
  </si>
  <si>
    <t xml:space="preserve">46</t>
  </si>
  <si>
    <t xml:space="preserve">28,18</t>
  </si>
  <si>
    <t xml:space="preserve">0.470216299614197</t>
  </si>
  <si>
    <t xml:space="preserve">nuclear autoantigenic sperm protein</t>
  </si>
  <si>
    <t xml:space="preserve">FUNCTION: Required for DNA replication, normal cell cycle progression and cell proliferation. Forms a cytoplasmic complex with HSP90 and H1 linker histones and stimulates HSP90 ATPase activity. NASP and H1 histone are subsequently released from the complex and translocate to the nucleus where the histone is released for binding to DNA (By similarity). {ECO:0000250}.; </t>
  </si>
  <si>
    <t xml:space="preserve">170.60</t>
  </si>
  <si>
    <t xml:space="preserve">28</t>
  </si>
  <si>
    <t xml:space="preserve">22,6</t>
  </si>
  <si>
    <t xml:space="preserve">frameshift deletion</t>
  </si>
  <si>
    <t xml:space="preserve">LRP8:NM_001018054:exon1:c.71delT:p.L24Rfs*50,LRP8:NM_004631:exon1:c.71delT:p.L24Rfs*50,LRP8:NM_017522:exon1:c.71delT:p.L24Rfs*50,LRP8:NM_033300:exon1:c.71delT:p.L24Rfs*50;LRP8:uc001cvi.2:exon1:c.71delT:p.L24Rfs*50,LRP8:uc001cvj.2:exon1:c.71delT:p.L24Rfs*50,LRP8:uc001cvk.2:exon1:c.71delT:p.L24Rfs*50,LRP8:uc001cvl.2:exon1:c.71delT:p.L24Rfs*50;ENSG00000157193:ENST00000306052:exon1:c.71delT:p.L24Rfs*50,ENSG00000157193:ENST00000347547:exon1:c.71delT:p.L24Rfs*50,ENSG00000157193:ENST00000354412:exon1:c.71delT:p.L24Rfs*50,ENSG00000157193:ENST00000371454:exon1:c.71delT:p.L24Rfs*50,ENSG00000157193:ENST00000480045:exon1:c.71delT:p.L24Rfs*50</t>
  </si>
  <si>
    <t xml:space="preserve">0.999985760234446</t>
  </si>
  <si>
    <t xml:space="preserve">LDL receptor related protein 8</t>
  </si>
  <si>
    <t xml:space="preserve">FUNCTION: Cell surface receptor for Reelin (RELN) and apolipoprotein E (apoE)-containing ligands. LRP8 participates in transmitting the extracellular Reelin signal to intracellular signaling processes, by binding to DAB1 on its cytoplasmic tail. Reelin acts via both the VLDL receptor (VLDLR) and LRP8 to regulate DAB1 tyrosine phosphorylation and microtubule function in neurons. LRP8 has higher affinity for Reelin than VLDLR. LRP8 is thus a key component of the Reelin pathway which governs neuronal layering of the forebrain during embryonic brain development. Binds the endoplasmic reticulum resident receptor-associated protein (RAP). Binds dimers of beta 2-glycoprotein I and may be involved in the suppression of platelet aggregation in the vasculature. Highly expressed in the initial segment of the epididymis, where it affects the functional expression of clusterin and phospholipid hydroperoxide glutathione peroxidase (PHGPx), two proteins required for sperm maturation. May also function as an endocytic receptor. {ECO:0000269|PubMed:12807892, ECO:0000269|PubMed:12899622, ECO:0000269|PubMed:12950167}.; </t>
  </si>
  <si>
    <t xml:space="preserve">DISEASE: Myocardial infarction 1 (MCI1) [MIM:608446]: A condition defined by the irreversible necrosis of heart muscle secondary to prolonged ischemia. {ECO:0000269|PubMed:17847002}. Note=The disease is caused by mutations affecting the gene represented in this entry.; </t>
  </si>
  <si>
    <t xml:space="preserve">327.64</t>
  </si>
  <si>
    <t xml:space="preserve">17,12</t>
  </si>
  <si>
    <t xml:space="preserve">2;2</t>
  </si>
  <si>
    <t xml:space="preserve">adhesion G protein-coupled receptor L2</t>
  </si>
  <si>
    <t xml:space="preserve">FUNCTION: Calcium-independent receptor of low affinity for alpha- latrotoxin, an excitatory neurotoxin present in black widow spider venom which triggers massive exocytosis from neurons and neuroendocrine cells. Receptor propably implicated in the regulation of exocytosis. {ECO:0000250|UniProtKB:O88923}.; </t>
  </si>
  <si>
    <t xml:space="preserve">47.64</t>
  </si>
  <si>
    <t xml:space="preserve">7,3</t>
  </si>
  <si>
    <t xml:space="preserve">303.64</t>
  </si>
  <si>
    <t xml:space="preserve">23</t>
  </si>
  <si>
    <t xml:space="preserve">12,11</t>
  </si>
  <si>
    <t xml:space="preserve">184.96</t>
  </si>
  <si>
    <t xml:space="preserve">5</t>
  </si>
  <si>
    <t xml:space="preserve">0,5</t>
  </si>
  <si>
    <t xml:space="preserve">HOMO</t>
  </si>
  <si>
    <t xml:space="preserve">0.000832660846870737</t>
  </si>
  <si>
    <t xml:space="preserve">ALG14, UDP-N-acetylglucosaminyltransferase subunit</t>
  </si>
  <si>
    <t xml:space="preserve">FUNCTION: May be involved in protein N-glycosylation. May play a role in the second step of the dolichol-linked oligosaccharide pathway. May anchor the catalytic subunit ALG13 to the ER. {ECO:0000269|PubMed:16100110}.; </t>
  </si>
  <si>
    <t xml:space="preserve">DISEASE: Myasthenic syndrome, congenital, 15 (CMS15) [MIM:616227]: A form of congenital myasthenic syndrome, a group of disorders characterized by failure of neuromuscular transmission, including pre-synaptic, synaptic, and post-synaptic disorders that are not of autoimmune origin. Clinical features are easy fatigability and muscle weakness. {ECO:0000269|PubMed:23404334}. Note=The disease is caused by mutations affecting the gene represented in this entry.; </t>
  </si>
  <si>
    <t xml:space="preserve">30.64</t>
  </si>
  <si>
    <t xml:space="preserve">9</t>
  </si>
  <si>
    <t xml:space="preserve">7,2</t>
  </si>
  <si>
    <t xml:space="preserve">4.9987952418433e-05</t>
  </si>
  <si>
    <t xml:space="preserve">SAS-6 centriolar assembly protein</t>
  </si>
  <si>
    <t xml:space="preserve">FUNCTION: Central scaffolding component of the centrioles ensuring their 9-fold symmetry. Required for centrosome biogenesis and duplication: required both for mother-centriole-dependent centriole duplication and deuterosome-dependent centriole amplification in multiciliated cells. Overexpression results in excess foci-bearing centriolar markers. {ECO:0000269|PubMed:15665853, ECO:0000269|PubMed:16244668, ECO:0000269|PubMed:17681131}.; </t>
  </si>
  <si>
    <t xml:space="preserve">DISEASE: Microcephaly 14, primary, autosomal recessive (MCPH14) [MIM:616402]: A form of microcephaly, a disease defined as a head circumference more than 3 standard deviations below the age, sex and ethnically matched mean. Brain weight is markedly reduced and the cerebral cortex is disproportionately small. {ECO:0000269|PubMed:24951542}. Note=The disease is caused by mutations affecting the gene represented in this entry.; </t>
  </si>
  <si>
    <t xml:space="preserve">132.64</t>
  </si>
  <si>
    <t xml:space="preserve">2,4</t>
  </si>
  <si>
    <t xml:space="preserve">7.39663613294889e-06</t>
  </si>
  <si>
    <t xml:space="preserve">syntaxin binding protein 3</t>
  </si>
  <si>
    <t xml:space="preserve">FUNCTION: Together with STX4 and VAMP2, may play a role in insulin-dependent movement of GLUT4 and in docking/fusion of intracellular GLUT4-containing vesicles with the cell surface in adipocytes. {ECO:0000250}.; </t>
  </si>
  <si>
    <t xml:space="preserve">194.64</t>
  </si>
  <si>
    <t xml:space="preserve">13</t>
  </si>
  <si>
    <t xml:space="preserve">6,7</t>
  </si>
  <si>
    <t xml:space="preserve">0.130901315990928</t>
  </si>
  <si>
    <t xml:space="preserve">striatin interacting protein 1</t>
  </si>
  <si>
    <t xml:space="preserve">FUNCTION: Plays a role in the regulation of cell morphology and cytoskeletal organization. Required in the cortical actin filament dynamics and cell shape. {ECO:0000269|PubMed:21834987}.; </t>
  </si>
  <si>
    <t xml:space="preserve">119.64</t>
  </si>
  <si>
    <t xml:space="preserve">8</t>
  </si>
  <si>
    <t xml:space="preserve">4,4</t>
  </si>
  <si>
    <t xml:space="preserve">3.0777571006681e-16</t>
  </si>
  <si>
    <t xml:space="preserve">AP4B1 antisense RNA 1;protein tyrosine phosphatase, non-receptor type 22</t>
  </si>
  <si>
    <t xml:space="preserve">FUNCTION: Acts as negative regulator of T-cell receptor (TCR) signaling by direct dephosphorylation of the Src family kinases LCK and FYN, ITAMs of the TCRz/CD3 complex, as well as ZAP70, VAV, VCP and other key signaling molecules (PubMed:16461343, PubMed:18056643). Associates with and probably dephosphorylates CBL. Dephosphorylates LCK at its activating 'Tyr-394' residue (PubMed:21719704). Dephosphorylates ZAP70 at its activating 'Tyr- 493' residue (PubMed:16461343). Dephosphorylates the immune system activator SKAP2 (PubMed:21719704). Positively regulates toll-like receptor (TLR)-induced type 1 interferon production (PubMed:23871208). Promotes host antiviral responses mediated by type 1 interferon (By similarity). Regulates NOD2-induced pro- inflammatory cytokine secretion and autophagy (PubMed:23991106). {ECO:0000250|UniProtKB:P29352, ECO:0000269|PubMed:16461343, ECO:0000269|PubMed:18056643, ECO:0000269|PubMed:19167335, ECO:0000269|PubMed:21719704, ECO:0000269|PubMed:23871208, ECO:0000269|PubMed:23991106}.; </t>
  </si>
  <si>
    <t xml:space="preserve">DISEASE: Systemic lupus erythematosus (SLE) [MIM:152700]: A chronic, relapsing, inflammatory, and often febrile multisystemic disorder of connective tissue, characterized principally by involvement of the skin, joints, kidneys and serosal membranes. It is of unknown etiology, but is thought to represent a failure of the regulatory mechanisms of the autoimmune system. The disease is marked by a wide range of system dysfunctions, an elevated erythrocyte sedimentation rate, and the formation of LE cells in the blood or bone marrow. {ECO:0000269|PubMed:15273934}. Note=Disease susceptibility is associated with variations affecting the gene represented in this entry.; DISEASE: Diabetes mellitus, insulin-dependent (IDDM) [MIM:222100]: A multifactorial disorder of glucose homeostasis that is characterized by susceptibility to ketoacidosis in the absence of insulin therapy. Clinical features are polydipsia, polyphagia and polyuria which result from hyperglycemia-induced osmotic diuresis and secondary thirst. These derangements result in long-term complications that affect the eyes, kidneys, nerves, and blood vessels. {ECO:0000269|PubMed:15004560}. Note=Disease susceptibility is associated with variations affecting the gene represented in this entry.; DISEASE: Rheumatoid arthritis (RA) [MIM:180300]: An inflammatory disease with autoimmune features and a complex genetic component. It primarily affects the joints and is characterized by inflammatory changes in the synovial membranes and articular structures, widespread fibrinoid degeneration of the collagen fibers in mesenchymal tissues, and by atrophy and rarefaction of bony structures. {ECO:0000269|PubMed:15208781}. Note=Disease susceptibility is associated with variations affecting the gene represented in this entry.; DISEASE: Vitiligo (VTLG) [MIM:193200]: A pigmentary disorder of the skin and mucous membranes. It is characterized by circumscribed depigmented macules and patches, commonly on extensor aspects of extremities, on the face or neck and in skin folds. Vitiligo is a progressive disorder in which some or all of the melanocytes in the affected skin are selectively destroyed. It is a multifactorial disorder with a complex etiology probably including autoimmune mechanisms, and is associated with an elevated risk of other autoimmune diseases. {ECO:0000269|PubMed:16015369}. Note=Disease susceptibility is associated with variations affecting the gene represented in this entry.; </t>
  </si>
  <si>
    <t xml:space="preserve">73.60</t>
  </si>
  <si>
    <t xml:space="preserve">76</t>
  </si>
  <si>
    <t xml:space="preserve">65,11</t>
  </si>
  <si>
    <t xml:space="preserve">SYCP1:NM_001282542:exon31:c.2817dupA:p.L943Tfs*5,SYCP1:NM_001282541:exon32:c.2892dupA:p.L968Tfs*5,SYCP1:NM_003176:exon32:c.2892dupA:p.L968Tfs*5;SYCP1:uc009wgw.3:exon31:c.2817dupA:p.L943Tfs*5,SYCP1:uc001efq.3:exon32:c.2892dupA:p.L968Tfs*5,SYCP1:uc001efr.3:exon32:c.2892dupA:p.L968Tfs*5;ENSG00000198765:ENST00000369518:exon32:c.2892dupA:p.L968Tfs*5,ENSG00000198765:ENST00000369522:exon32:c.2892dupA:p.L968Tfs*5</t>
  </si>
  <si>
    <t xml:space="preserve">0.949997702198387</t>
  </si>
  <si>
    <t xml:space="preserve">synaptonemal complex protein 1</t>
  </si>
  <si>
    <t xml:space="preserve">FUNCTION: Major component of the transverse filaments of synaptonemal complexes (SCS), formed between homologous chromosomes during meiotic prophase.; </t>
  </si>
  <si>
    <t xml:space="preserve">AlleleImbalance</t>
  </si>
  <si>
    <t xml:space="preserve">1248.64</t>
  </si>
  <si>
    <t xml:space="preserve">43,33</t>
  </si>
  <si>
    <t xml:space="preserve">127.64</t>
  </si>
  <si>
    <t xml:space="preserve">0.767108491529973</t>
  </si>
  <si>
    <t xml:space="preserve">neuroblastoma breakpoint family member 19;protein kinase AMP-activated non-catalytic subunit beta 2</t>
  </si>
  <si>
    <t xml:space="preserve">FUNCTION: Non-catalytic subunit of AMP-activated protein kinase (AMPK), an energy sensor protein kinase that plays a key role in regulating cellular energy metabolism. In response to reduction of intracellular ATP levels, AMPK activates energy-producing pathways and inhibits energy-consuming processes: inhibits protein, carbohydrate and lipid biosynthesis, as well as cell growth and proliferation. AMPK acts via direct phosphorylation of metabolic enzymes, and by longer-term effects via phosphorylation of transcription regulators. Also acts as a regulator of cellular polarity by remodeling the actin cytoskeleton; probably by indirectly activating myosin. Beta non-catalytic subunit acts as a scaffold on which the AMPK complex assembles, via its C-terminus that bridges alpha (PRKAA1 or PRKAA2) and gamma subunits (PRKAG1, PRKAG2 or PRKAG3).; </t>
  </si>
  <si>
    <t xml:space="preserve">337.64</t>
  </si>
  <si>
    <t xml:space="preserve">21</t>
  </si>
  <si>
    <t xml:space="preserve">10,11</t>
  </si>
  <si>
    <t xml:space="preserve">0.178651547006617</t>
  </si>
  <si>
    <t xml:space="preserve">chromosome 1 open reading frame 54</t>
  </si>
  <si>
    <t xml:space="preserve">34.60</t>
  </si>
  <si>
    <t xml:space="preserve">14</t>
  </si>
  <si>
    <t xml:space="preserve">11,3</t>
  </si>
  <si>
    <t xml:space="preserve">TPM3:uc001fdx.1:exon1:c.317delT:p.F106Sfs*13</t>
  </si>
  <si>
    <t xml:space="preserve">0.191983984043152</t>
  </si>
  <si>
    <t xml:space="preserve">tropomyosin 3</t>
  </si>
  <si>
    <t xml:space="preserve">FUNCTION: Binds to actin filaments in muscle and non-muscle cells. Plays a central role, in association with the troponin complex, in the calcium dependent regulation of vertebrate striated muscle contraction. Smooth muscle contraction is regulated by interaction with caldesmon. In non-muscle cells is implicated in stabilizing cytoskeleton actin filaments.; </t>
  </si>
  <si>
    <t xml:space="preserve">DISEASE: Nemaline myopathy 1 (NEM1) [MIM:609284]: A form of nemaline myopathy with autosomal dominant or recessive inheritance. Nemaline myopathies are disorders characterized by muscle weakness of varying onset and severity, and abnormal thread-like or rod-shaped structures in muscle fibers on histologic examination. Autosomal dominant NEM1 is characterized by a moderate phenotype with onset between birth and early second decade of life. Weakness is diffuse and symmetric with slow progression often with need for a wheelchair in adulthood. The autosomal recessive form has onset at birth with moderate to severe hypotonia and diffuse weakness. In the most severe cases, death can occur before 2 years. Less severe cases have delayed major motor milestones, and these patients may walk, but often need a wheelchair before 10 years. {ECO:0000269|PubMed:17376686, ECO:0000269|PubMed:24692096, ECO:0000269|PubMed:7704029}. Note=The disease is caused by mutations affecting the gene represented in this entry.; DISEASE: Note=A chromosomal aberration involving TPM3 is found in papillary thyroid carcinomas (PTCs). A rearrangement with NTRK1 generates the TRK fusion transcript by fusing the amino end of isoform 2 of TPM3 to the 3'-end of NTRK1. {ECO:0000269|PubMed:2869410}.; DISEASE: Myopathy, congenital, with fiber-type disproportion (CFTD) [MIM:255310]: A genetically heterogeneous disorder in which there is relative hypotrophy of type 1 muscle fibers compared to type 2 fibers on skeletal muscle biopsy. However, these findings are not specific and can be found in many different myopathic and neuropathic conditions. {ECO:0000269|PubMed:18300303, ECO:0000269|PubMed:19953533, ECO:0000269|PubMed:20951040, ECO:0000269|PubMed:24692096}. Note=The disease is caused by mutations affecting the gene represented in this entry.; DISEASE: Cap myopathy 1 (CAPM1) [MIM:609284]: A rare congenital skeletal muscle disorder characterized by the presence of cap-like structures which are well demarcated and peripherally located under the sarcolemma and show abnormal accumulation of sarcomeric proteins. Clinical features are early onset of hypotonia and slowly progressive muscle weakness. Respiratory problems are common. {ECO:0000269|PubMed:18300303, ECO:0000269|PubMed:19487656, ECO:0000269|PubMed:19553118, ECO:0000269|PubMed:24239060, ECO:0000269|PubMed:24692096}. Note=The disease is caused by mutations affecting the gene represented in this entry.; </t>
  </si>
  <si>
    <t xml:space="preserve">CT</t>
  </si>
  <si>
    <t xml:space="preserve">45.60</t>
  </si>
  <si>
    <t xml:space="preserve">74</t>
  </si>
  <si>
    <t xml:space="preserve">67,7</t>
  </si>
  <si>
    <t xml:space="preserve">KHDC4:NM_014949:exon12:c.1546_1547del:p.R516Gfs*21;KIAA0907:uc001fmi.1:exon12:c.1546_1547del:p.R516Gfs*21,KIAA0907:uc001fmj.1:exon12:c.1546_1547del:p.R516Gfs*21;ENSG00000132680:ENST00000368320:exon12:c.1546_1547del:p.R516Gfs*21,ENSG00000132680:ENST00000368321:exon12:c.1546_1547del:p.R516Gfs*21</t>
  </si>
  <si>
    <t xml:space="preserve">0.99711361843545</t>
  </si>
  <si>
    <t xml:space="preserve">KIAA0907</t>
  </si>
  <si>
    <t xml:space="preserve">33</t>
  </si>
  <si>
    <t xml:space="preserve">13,20</t>
  </si>
  <si>
    <t xml:space="preserve">NM_001007255:exon3:c.905+1G&gt;C;NM_001007255:exon3:UTR3;NM_152366:exon3:c.886+1G&gt;C;uc001fxq.3:exon4:c.172+1G&gt;C;uc021pbt.1:exon4:c.232+1G&gt;C;uc001fxr.3:exon3:c.886+1G&gt;C;uc001fxs.3:exon3:c.905+1G&gt;C;uc001fxs.3:exon3:UTR3;ENST00000392192:exon3:c.905+1G&gt;C;ENST00000392192:exon3:UTR3;ENST00000368011:exon3:c.886+1G&gt;C</t>
  </si>
  <si>
    <t xml:space="preserve">5.36703786259885e-06</t>
  </si>
  <si>
    <t xml:space="preserve">kelch domain containing 9</t>
  </si>
  <si>
    <t xml:space="preserve">31.64</t>
  </si>
  <si>
    <t xml:space="preserve">43,4</t>
  </si>
  <si>
    <t xml:space="preserve">1.22273626907589e-05</t>
  </si>
  <si>
    <t xml:space="preserve">Fc fragment of IgG receptor IIIa</t>
  </si>
  <si>
    <t xml:space="preserve">FUNCTION: Receptor for the Fc region of IgG. Binds complexed or aggregated IgG and also monomeric IgG. Mediates antibody-dependent cellular cytotoxicity (ADCC) and other antibody-dependent responses, such as phagocytosis. {ECO:0000269|PubMed:21768335, ECO:0000269|PubMed:22023369}.; </t>
  </si>
  <si>
    <t xml:space="preserve">DISEASE: Immunodeficiency 20 (IMD20) [MIM:615707]: A rare autosomal recessive primary immunodeficiency characterized by functional deficiency of NK cells. Affected individuals typically present with severe herpes viral infections, particularly Epstein Barr virus (EBV), and human papillomavirus (HPV). {ECO:0000269|PubMed:23006327, ECO:0000269|PubMed:8608639, ECO:0000269|PubMed:8609432, ECO:0000269|PubMed:8874200}. Note=The disease is caused by mutations affecting the gene represented in this entry.; </t>
  </si>
  <si>
    <t xml:space="preserve">602.64</t>
  </si>
  <si>
    <t xml:space="preserve">32</t>
  </si>
  <si>
    <t xml:space="preserve">8,24</t>
  </si>
  <si>
    <t xml:space="preserve">0.999941156148536</t>
  </si>
  <si>
    <t xml:space="preserve">protein tyrosine phosphatase, receptor type C</t>
  </si>
  <si>
    <t xml:space="preserve">FUNCTION: Protein tyrosine-protein phosphatase required for T-cell activation through the antigen receptor. Acts as a positive regulator of T-cell coactivation upon binding to DPP4. The first PTPase domain has enzymatic activity, while the second one seems to affect the substrate specificity of the first one. Upon T-cell activation, recruits and dephosphorylates SKAP1 and FYN. Dephosphorylates LYN, and thereby modulates LYN activity (By similarity). {ECO:0000250, ECO:0000269|PubMed:11909961, ECO:0000269|PubMed:2845400}.; </t>
  </si>
  <si>
    <t xml:space="preserve">DISEASE: Severe combined immunodeficiency autosomal recessive T- cell-negative/B-cell-positive/NK-cell-positive (T(-)B(+)NK(+) SCID) [MIM:608971]: A form of severe combined immunodeficiency (SCID), a genetically and clinically heterogeneous group of rare congenital disorders characterized by impairment of both humoral and cell-mediated immunity, leukopenia, and low or absent antibody levels. Patients present in infancy recurrent, persistent infections by opportunistic organisms. The common characteristic of all types of SCID is absence of T-cell-mediated cellular immunity due to a defect in T-cell development. {ECO:0000269|PubMed:11145714}. Note=The disease is caused by mutations affecting the gene represented in this entry.; DISEASE: Multiple sclerosis (MS) [MIM:126200]: A multifactorial, inflammatory, demyelinating disease of the central nervous system. Sclerotic lesions are characterized by perivascular infiltration of monocytes and lymphocytes and appear as indurated areas in pathologic specimens (sclerosis in plaques). The pathological mechanism is regarded as an autoimmune attack of the myelin sheath, mediated by both cellular and humoral immunity. Clinical manifestations include visual loss, extra-ocular movement disorders, paresthesias, loss of sensation, weakness, dysarthria, spasticity, ataxia and bladder dysfunction. Genetic and environmental factors influence susceptibility to the disease. {ECO:0000269|PubMed:11101853}. Note=Disease susceptibility may be associated with variations affecting the gene represented in this entry.; </t>
  </si>
  <si>
    <t xml:space="preserve">160.64</t>
  </si>
  <si>
    <t xml:space="preserve">106</t>
  </si>
  <si>
    <t xml:space="preserve">91,15</t>
  </si>
  <si>
    <t xml:space="preserve">intergenic;intronic;ncRNA_intronic</t>
  </si>
  <si>
    <t xml:space="preserve">dist=224939;dist=1384</t>
  </si>
  <si>
    <t xml:space="preserve">family with sequence similarity 72 member A</t>
  </si>
  <si>
    <t xml:space="preserve">FUNCTION: May play a role in the regulation of cellular reactive oxygen species metabolism. May participate in cell growth regulation. {ECO:0000269|PubMed:21317926}.; </t>
  </si>
  <si>
    <t xml:space="preserve">179.64</t>
  </si>
  <si>
    <t xml:space="preserve">31</t>
  </si>
  <si>
    <t xml:space="preserve">22,9</t>
  </si>
  <si>
    <t xml:space="preserve">0.999999934433848</t>
  </si>
  <si>
    <t xml:space="preserve">ryanodine receptor 2</t>
  </si>
  <si>
    <t xml:space="preserve">FUNCTION: Calcium channel that mediates the release of Ca(2+) from the sarcoplasmic reticulum into the cytoplasm and thereby plays a key role in triggering cardiac muscle contraction. Aberrant channel activation can lead to cardiac arrhythmia. In cardiac myocytes, calcium release is triggered by increased Ca(2+) levels due to activation of the L-type calcium channel CACNA1C. The calcium channel activity is modulated by formation of heterotetramers with RYR3. Required for cellular calcium ion homeostasis. Required for embryonic heart development. {ECO:0000269|PubMed:10830164, ECO:0000269|PubMed:20056922}.; </t>
  </si>
  <si>
    <t xml:space="preserve">DISEASE: Arrhythmogenic right ventricular dysplasia, familial, 2 (ARVD2) [MIM:600996]: A congenital heart disease characterized by infiltration of adipose and fibrous tissue into the right ventricle and loss of myocardial cells, resulting in ventricular and supraventricular arrhythmias. {ECO:0000269|PubMed:11159936}. Note=The disease is caused by mutations affecting the gene represented in this entry.; DISEASE: Ventricular tachycardia, catecholaminergic polymorphic, 1, with or without atrial dysfunction and/or dilated cardiomyopathy (CPVT1) [MIM:604772]: An arrhythmogenic disorder characterized by stress-induced, bidirectional ventricular tachycardia that may degenerate into cardiac arrest and cause sudden death. Patients present with recurrent syncope, seizures, or sudden death after physical activity or emotional stress. {ECO:0000269|PubMed:11157710, ECO:0000269|PubMed:12093772, ECO:0000269|PubMed:12106942, ECO:0000269|PubMed:15046072, ECO:0000269|PubMed:15046073, ECO:0000269|PubMed:15466642, ECO:0000269|PubMed:15544015}. Note=The disease is caused by mutations affecting the gene represented in this entry.; </t>
  </si>
  <si>
    <t xml:space="preserve">CAGAG</t>
  </si>
  <si>
    <t xml:space="preserve">2119.60</t>
  </si>
  <si>
    <t xml:space="preserve">133</t>
  </si>
  <si>
    <t xml:space="preserve">76,57</t>
  </si>
  <si>
    <t xml:space="preserve">KIF26B:NM_018012:exon12:c.4422_4426del:p.E1477Gfs*26;KIF26B:uc001ibh.1:exon3:c.2148_2152del:p.E719Gfs*26,KIF26B:uc001ibg.1:exon9:c.3276_3280del:p.E1095Gfs*26,KIF26B:uc001ibf.1:exon12:c.4422_4426del:p.E1477Gfs*26;ENSG00000162849:ENST00000366518:exon9:c.3279_3283del:p.E1096Gfs*26,ENSG00000162849:ENST00000407071:exon12:c.4422_4426del:p.E1477Gfs*26</t>
  </si>
  <si>
    <t xml:space="preserve">0.999987955632678</t>
  </si>
  <si>
    <t xml:space="preserve">kinesin family member 26B</t>
  </si>
  <si>
    <t xml:space="preserve">FUNCTION: Essential for embryonic kidney development. Plays an important role in the compact adhesion between mesenchymal cells adjacent to the ureteric buds, possibly by interacting with MYH10. This could lead to the establishment of the basolateral integrity of the mesenchyme and the polarized expression of ITGA8, which maintains the GDNF expression required for further ureteric bud attraction. Although it seems to lack ATPase activity it is constitutively associated with microtubules (By similarity). {ECO:0000250}.; </t>
  </si>
  <si>
    <t xml:space="preserve">1367.64</t>
  </si>
  <si>
    <t xml:space="preserve">66,58</t>
  </si>
  <si>
    <t xml:space="preserve">0.98715482475951</t>
  </si>
  <si>
    <t xml:space="preserve">GDP dissociation inhibitor 2</t>
  </si>
  <si>
    <t xml:space="preserve">FUNCTION: Regulates the GDP/GTP exchange reaction of most Rab proteins by inhibiting the dissociation of GDP from them, and the subsequent binding of GTP to them.; </t>
  </si>
  <si>
    <t xml:space="preserve">594.64</t>
  </si>
  <si>
    <t xml:space="preserve">36</t>
  </si>
  <si>
    <t xml:space="preserve">15,21</t>
  </si>
  <si>
    <t xml:space="preserve">0.0477656793520055</t>
  </si>
  <si>
    <t xml:space="preserve">Ras suppressor protein 1</t>
  </si>
  <si>
    <t xml:space="preserve">FUNCTION: Potentially plays a role in the Ras signal transduction pathway. Capable of suppressing v-Ras transformation in vitro.; </t>
  </si>
  <si>
    <t xml:space="preserve">123.64</t>
  </si>
  <si>
    <t xml:space="preserve">135</t>
  </si>
  <si>
    <t xml:space="preserve">109,26</t>
  </si>
  <si>
    <t xml:space="preserve">NM_201593:c.*18T&gt;C;NM_201596:c.*18T&gt;C;NM_201597:c.*18T&gt;C;NM_201571:c.*18T&gt;C;NM_201572:c.*18T&gt;C;NM_001167945:c.*18T&gt;C;NM_000724:c.*18T&gt;C;NM_001330060:c.*18T&gt;C;NM_201590:c.*18T&gt;C;NM_201570:c.*18T&gt;C</t>
  </si>
  <si>
    <t xml:space="preserve">0.00182033784193924</t>
  </si>
  <si>
    <t xml:space="preserve">calcium voltage-gated channel auxiliary subunit beta 2</t>
  </si>
  <si>
    <t xml:space="preserve">FUNCTION: The beta subunit of voltage-dependent calcium channels contributes to the function of the calcium channel by increasing peak calcium current, shifting the voltage dependencies of activation and inactivation, modulating G protein inhibition and controlling the alpha-1 subunit membrane targeting.; </t>
  </si>
  <si>
    <t xml:space="preserve">DISEASE: Brugada syndrome 4 (BRGDA4) [MIM:611876]: A heart disease characterized by the association of Brugada syndrome with shortened QT intervals. Brugada syndrome is a tachyarrhythmia characterized by right bundle branch block and ST segment elevation on an electrocardiogram (ECG). It can cause the ventricles to beat so fast that the blood is prevented from circulating efficiently in the body. When this situation occurs, the individual will faint and may die in a few minutes if the heart is not reset. {ECO:0000269|PubMed:17224476}. Note=The disease is caused by mutations affecting the gene represented in this entry.; </t>
  </si>
  <si>
    <t xml:space="preserve">195.64</t>
  </si>
  <si>
    <t xml:space="preserve">7,6</t>
  </si>
  <si>
    <t xml:space="preserve">0.00217665588048022</t>
  </si>
  <si>
    <t xml:space="preserve">BMP and activin membrane-bound inhibitor</t>
  </si>
  <si>
    <t xml:space="preserve">FUNCTION: Negatively regulates TGF-beta signaling.; </t>
  </si>
  <si>
    <t xml:space="preserve">1807.64</t>
  </si>
  <si>
    <t xml:space="preserve">300</t>
  </si>
  <si>
    <t xml:space="preserve">238,62</t>
  </si>
  <si>
    <t xml:space="preserve">0.983612745475666</t>
  </si>
  <si>
    <t xml:space="preserve">zinc finger E-box binding homeobox 1</t>
  </si>
  <si>
    <t xml:space="preserve">FUNCTION: Acts as a transcriptional repressor. Inhibits interleukin-2 (IL-2) gene expression. Enhances or represses the promoter activity of the ATP1A1 gene depending on the quantity of cDNA and on the cell type. Represses E-cadherin promoter and induces an epithelial-mesenchymal transition (EMT) by recruiting SMARCA4/BRG1. Represses BCL6 transcription in the presence of the corepressor CTBP1. Positively regulates neuronal differentiation. Represses RCOR1 transcription activation during neurogenesis. Represses transcription by binding to the E box (5'-CANNTG-3'). Promotes tumorigenicity by repressing stemness-inhibiting microRNAs. {ECO:0000269|PubMed:19935649, ECO:0000269|PubMed:20175752, ECO:0000269|PubMed:20418909}.; </t>
  </si>
  <si>
    <t xml:space="preserve">DISEASE: Corneal dystrophy, Fuchs endothelial, 6 (FECD6) [MIM:613270]: A corneal disease caused by loss of endothelium of the central cornea. It is characterized by focal wart-like guttata that arise from Descemet membrane and develop in the central cornea, epithelial blisters, reduced vision and pain. Descemet membrane is thickened by abnormal collagenous deposition. {ECO:0000269|PubMed:20036349, ECO:0000269|PubMed:23599324}. Note=The disease is caused by mutations affecting the gene represented in this entry.; </t>
  </si>
  <si>
    <t xml:space="preserve">85.64</t>
  </si>
  <si>
    <t xml:space="preserve">3,6</t>
  </si>
  <si>
    <t xml:space="preserve">0.0338209971609747</t>
  </si>
  <si>
    <t xml:space="preserve">Suv3 like RNA helicase</t>
  </si>
  <si>
    <t xml:space="preserve">FUNCTION: Major helicase player in mitochondrial RNA metabolism. Component of the mitochondrial degradosome (mtEXO) complex, that degrades 3' overhang double-stranded RNA with a 3'-to-5' directionality in an ATP-dependent manner. ATPase and ATP- dependent multisubstrate helicase, able to unwind double-stranded (ds) DNA and RNA, and RNA/DNA heteroduplexes in the 5'-to-3' direction. Plays a role in the RNA surveillance system in mitochondria; regulates the stability of mature mRNAs, the removal of aberrantly formed mRNAs and the rapid degradation of non coding processing intermediates. Also implicated in recombination and chromatin maintenance pathways. May protect cells from apoptosis. Associates with mitochondrial DNA. {ECO:0000269|PubMed:12466530, ECO:0000269|PubMed:15096047, ECO:0000269|PubMed:17352692, ECO:0000269|PubMed:17961633, ECO:0000269|PubMed:18678873, ECO:0000269|PubMed:19509288, ECO:0000269|PubMed:19864255}.; </t>
  </si>
  <si>
    <t xml:space="preserve">873.64</t>
  </si>
  <si>
    <t xml:space="preserve">63</t>
  </si>
  <si>
    <t xml:space="preserve">32,31</t>
  </si>
  <si>
    <t xml:space="preserve">0.999992339582229</t>
  </si>
  <si>
    <t xml:space="preserve">SEC24 homolog C, COPII coat complex component</t>
  </si>
  <si>
    <t xml:space="preserve">FUNCTION: Component of the COPII coat, that covers ER-derived vesicles involved in transport from the endoplasmic reticulum to the Golgi apparatus. COPII acts in the cytoplasm to promote the transport of secretory, plasma membrane, and vacuolar proteins from the endoplasmic reticulum to the Golgi complex. {ECO:0000269|PubMed:10075675, ECO:0000269|PubMed:10214955, ECO:0000269|PubMed:10329445}.; </t>
  </si>
  <si>
    <t xml:space="preserve">193.64</t>
  </si>
  <si>
    <t xml:space="preserve">24</t>
  </si>
  <si>
    <t xml:space="preserve">14,10</t>
  </si>
  <si>
    <t xml:space="preserve">0.00055026957460409;0.00506563580969443</t>
  </si>
  <si>
    <t xml:space="preserve">chromosome 10 open reading frame 55;plasminogen activator, urokinase</t>
  </si>
  <si>
    <t xml:space="preserve">FUNCTION: Specifically cleaves the zymogen plasminogen to form the active enzyme plasmin.; </t>
  </si>
  <si>
    <t xml:space="preserve">DISEASE: Quebec platelet disorder (QPD) [MIM:601709]: An autosomal dominant bleeding disorder due to a gain-of-function defect in fibrinolysis. Although affected individuals do not exhibit systemic fibrinolysis, they show delayed onset bleeding after challenge, such as surgery. The hallmark of the disorder is markedly increased PLAU levels within platelets, which causes intraplatelet plasmin generation and secondary degradation of alpha-granule proteins. {ECO:0000269|PubMed:20007542}. Note=The disease is caused by mutations affecting the gene represented in this entry.; </t>
  </si>
  <si>
    <t xml:space="preserve">225.64</t>
  </si>
  <si>
    <t xml:space="preserve">11</t>
  </si>
  <si>
    <t xml:space="preserve">4,7</t>
  </si>
  <si>
    <t xml:space="preserve">0.996021945517005</t>
  </si>
  <si>
    <t xml:space="preserve">polycomb group ring finger 5</t>
  </si>
  <si>
    <t xml:space="preserve">FUNCTION: Component of a Polycomb group (PcG) multiprotein PRC1- like complex, a complex class required to maintain the transcriptionally repressive state of many genes, including Hox genes, throughout development. PcG PRC1 complex acts via chromatin remodeling and modification of histones; it mediates monoubiquitination of histone H2A 'Lys-119', rendering chromatin heritably changed in its expressibility.; </t>
  </si>
  <si>
    <t xml:space="preserve">270.06</t>
  </si>
  <si>
    <t xml:space="preserve">1,6,5</t>
  </si>
  <si>
    <t xml:space="preserve">2.08401244116976e-36</t>
  </si>
  <si>
    <t xml:space="preserve">myoferlin</t>
  </si>
  <si>
    <t xml:space="preserve">FUNCTION: Calcium/phospholipid-binding protein that plays a role in the plasmalemma repair mechanism of endothelial cells that permits rapid resealing of membranes disrupted by mechanical stress. Involved in endocytic recycling. Implicated in VEGF signal transduction by regulating the levels of the receptor KDR (By similarity). {ECO:0000250}.; </t>
  </si>
  <si>
    <t xml:space="preserve">371.64</t>
  </si>
  <si>
    <t xml:space="preserve">38</t>
  </si>
  <si>
    <t xml:space="preserve">23,15</t>
  </si>
  <si>
    <t xml:space="preserve">0.204555596267865</t>
  </si>
  <si>
    <t xml:space="preserve">phospholipase C epsilon 1</t>
  </si>
  <si>
    <t xml:space="preserve">FUNCTION: The production of the second messenger molecules diacylglycerol (DAG) and inositol 1,4,5-trisphosphate (IP3) is mediated by activated phosphatidylinositol-specific phospholipase C enzymes. PLCE1 is a bifunctional enzyme which also regulates small GTPases of the Ras superfamily through its Ras guanine- exchange factor (RasGEF) activity. As an effector of heterotrimeric and small G-protein, it may play a role in cell survival, cell growth, actin organization and T-cell activation. {ECO:0000269|PubMed:11022047, ECO:0000269|PubMed:11395506, ECO:0000269|PubMed:11715024, ECO:0000269|PubMed:11877431, ECO:0000269|PubMed:12721365, ECO:0000269|PubMed:16537651, ECO:0000269|PubMed:17086182}.; </t>
  </si>
  <si>
    <t xml:space="preserve">DISEASE: Nephrotic syndrome 3 (NPHS3) [MIM:610725]: A form of nephrotic syndrome, a renal disease clinically characterized by severe proteinuria, resulting in complications such as hypoalbuminemia, hyperlipidemia and edema. Kidney biopsies show non-specific histologic changes such as focal segmental glomerulosclerosis and diffuse mesangial proliferation. Some affected individuals have an inherited steroid-resistant form and progress to end-stage renal failure. Most patients with NPHS3 show diffuse mesangial sclerosis on renal biopsy, which is a pathologic entity characterized by mesangial matrix expansion with no mesangial hypercellularity, hypertrophy of the podocytes, vacuolized podocytes, thickened basement membranes, and diminished patency of the capillary lumen. {ECO:0000269|PubMed:17086182}. Note=The disease is caused by mutations affecting the gene represented in this entry.; </t>
  </si>
  <si>
    <t xml:space="preserve">233.64</t>
  </si>
  <si>
    <t xml:space="preserve">16,9</t>
  </si>
  <si>
    <t xml:space="preserve">0.00264365020875562</t>
  </si>
  <si>
    <t xml:space="preserve">TBC1 domain family member 12</t>
  </si>
  <si>
    <t xml:space="preserve">FUNCTION: May act as a GTPase-activating protein for Rab family protein(s).; </t>
  </si>
  <si>
    <t xml:space="preserve">211.65</t>
  </si>
  <si>
    <t xml:space="preserve">7</t>
  </si>
  <si>
    <t xml:space="preserve">1,6</t>
  </si>
  <si>
    <t xml:space="preserve">0.831821999461453</t>
  </si>
  <si>
    <t xml:space="preserve">MMS19 homolog, cytosolic iron-sulfur assembly component</t>
  </si>
  <si>
    <t xml:space="preserve">FUNCTION: Key component of the cytosolic iron-sulfur protein assembly (CIA) complex, a multiprotein complex that mediates the incorporation of iron-sulfur cluster into apoproteins specifically involved in DNA metabolism and genomic integrity. In the CIA complex, MMS19 acts as an adapter between early-acting CIA components and a subset of cellular target iron-sulfur proteins such as ERCC2/XPD, FANCJ and RTEL1, thereby playing a key role in nucleotide excision repair (NER) and RNA polymerase II (POL II) transcription. As part of the mitotic spindle-associated MMXD complex, plays a role in chromosome segregation, probably by facilitating iron-sulfur cluster assembly into ERCC2/XPD. Indirectly acts as a transcriptional coactivator of estrogen receptor (ER), via its role in iron-sulfur insertion into some component of the TFIIH-machinery. {ECO:0000269|PubMed:11071939, ECO:0000269|PubMed:11328871, ECO:0000269|PubMed:20797633, ECO:0000269|PubMed:22678361, ECO:0000269|PubMed:22678362}.; </t>
  </si>
  <si>
    <t xml:space="preserve">336.60</t>
  </si>
  <si>
    <t xml:space="preserve">20</t>
  </si>
  <si>
    <t xml:space="preserve">11,9</t>
  </si>
  <si>
    <t xml:space="preserve">SFRP5:NM_003015:exon1:c.20_21insC:p.V10Rfs*46;SFRP5:uc001kor.4:exon1:c.20_21insC:p.V10Rfs*46;ENSG00000120057:ENST00000266066:exon1:c.20_21insC:p.V10Rfs*46</t>
  </si>
  <si>
    <t xml:space="preserve">1.17131762074183e-05</t>
  </si>
  <si>
    <t xml:space="preserve">secreted frizzled-related protein 5</t>
  </si>
  <si>
    <t xml:space="preserve">FUNCTION: Soluble frizzled-related proteins (sFRPS) function as modulators of Wnt signaling through direct interaction with Wnts. They have a role in regulating cell growth and differentiation in specific cell types. SFRP5 may be involved in determining the polarity of photoreceptor, and perhaps, other cells in the retina.; </t>
  </si>
  <si>
    <t xml:space="preserve">FilterSSE</t>
  </si>
  <si>
    <t xml:space="preserve">CGCCG</t>
  </si>
  <si>
    <t xml:space="preserve">814.06</t>
  </si>
  <si>
    <t xml:space="preserve">0,11,9</t>
  </si>
  <si>
    <t xml:space="preserve">SFRP5:NM_003015:exon1:c.19_20insCGGCG:p.G7Afs*81;SFRP5:uc001kor.4:exon1:c.19_20insCGGCG:p.G7Afs*81;ENSG00000120057:ENST00000266066:exon1:c.19_20insCGGCG:p.G7Afs*81</t>
  </si>
  <si>
    <t xml:space="preserve">1019.64</t>
  </si>
  <si>
    <t xml:space="preserve">48,43</t>
  </si>
  <si>
    <t xml:space="preserve">2.58648973238176e-31</t>
  </si>
  <si>
    <t xml:space="preserve">nebulin related anchoring protein</t>
  </si>
  <si>
    <t xml:space="preserve">FUNCTION: May be involved in anchoring the terminal actin filaments in the myofibril to the membrane and in transmitting tension from the myofibrils to the extracellular matrix. {ECO:0000250|UniProtKB:Q80XB4}.; </t>
  </si>
  <si>
    <t xml:space="preserve">11,20</t>
  </si>
  <si>
    <t xml:space="preserve">0.995631864108185</t>
  </si>
  <si>
    <t xml:space="preserve">attractin like 1</t>
  </si>
  <si>
    <t xml:space="preserve">FUNCTION: May play a role in melanocortin signaling pathways that regulate energy homeostasis. {ECO:0000250}.; </t>
  </si>
  <si>
    <t xml:space="preserve">1939.60</t>
  </si>
  <si>
    <t xml:space="preserve">50,61</t>
  </si>
  <si>
    <t xml:space="preserve">NM_006229:exon9:c.815-1G&gt;-;NM_001303135:exon9:c.815-1G&gt;-;uc001lco.1:exon9:c.815-1G&gt;-;uc001lcp.2:exon9:c.815-1G&gt;-;ENST00000358834:exon9:c.815-1G&gt;-;ENST00000528052:exon9:c.815-1G&gt;-;ENST00000534537:exon8:c.815-1G&gt;-</t>
  </si>
  <si>
    <t xml:space="preserve">6.28353313986005e-10</t>
  </si>
  <si>
    <t xml:space="preserve">pancreatic lipase related protein 1</t>
  </si>
  <si>
    <t xml:space="preserve">FUNCTION: May function as inhibitor of dietary triglyceride digestion. Lacks detectable lipase activity towards triglycerides, diglycerides, phosphatidylcholine, galactolipids or cholesterol esters (in vitro) (By similarity). {ECO:0000250, ECO:0000269|PubMed:19824014}.; </t>
  </si>
  <si>
    <t xml:space="preserve">1064.60</t>
  </si>
  <si>
    <t xml:space="preserve">247</t>
  </si>
  <si>
    <t xml:space="preserve">209,38</t>
  </si>
  <si>
    <t xml:space="preserve">CTBP2:NM_001363508:exon3:c.463delC:p.L155Sfs*12,CTBP2:NM_022802:exon3:c.1879delC:p.L627Sfs*12,CTBP2:NM_001321013:exon4:c.259delC:p.L87Sfs*12,CTBP2:NM_001083914:exon5:c.259delC:p.L87Sfs*12,CTBP2:NM_001290214:exon5:c.259delC:p.L87Sfs*12,CTBP2:NM_001290215:exon5:c.259delC:p.L87Sfs*12,CTBP2:NM_001321012:exon5:c.259delC:p.L87Sfs*12,CTBP2:NM_001321014:exon5:c.259delC:p.L87Sfs*12,CTBP2:NM_001329:exon5:c.259delC:p.L87Sfs*12;CTBP2:uc001lid.4:exon3:c.463delC:p.L155Sfs*12,CTBP2:uc001lie.4:exon3:c.1879delC:p.L627Sfs*12,CTBP2:uc001lif.4:exon5:c.259delC:p.L87Sfs*12,CTBP2:uc001lih.4:exon5:c.259delC:p.L87Sfs*12,CTBP2:uc009yak.3:exon5:c.259delC:p.L87Sfs*12,CTBP2:uc009yal.3:exon5:c.259delC:p.L87Sfs*12;ENSG00000175029:ENST00000309035:exon3:c.1879delC:p.L627Sfs*12,ENSG00000175029:ENST00000334808:exon3:c.463delC:p.L155Sfs*12,ENSG00000175029:ENST00000337195:exon5:c.259delC:p.L87Sfs*12,ENSG00000175029:ENST00000411419:exon5:c.259delC:p.L87Sfs*12,ENSG00000175029:ENST00000494626:exon5:c.259delC:p.L87Sfs*12,ENSG00000175029:ENST00000531469:exon5:c.259delC:p.L87Sfs*12</t>
  </si>
  <si>
    <t xml:space="preserve">645.60</t>
  </si>
  <si>
    <t xml:space="preserve">125</t>
  </si>
  <si>
    <t xml:space="preserve">98,27</t>
  </si>
  <si>
    <t xml:space="preserve">CTBP2:NM_001363508:exon2:c.373delG:p.V125Wfs*17,CTBP2:NM_022802:exon2:c.1789delG:p.V597Wfs*17,CTBP2:NM_001321013:exon3:c.169delG:p.V57Wfs*17,CTBP2:NM_001083914:exon4:c.169delG:p.V57Wfs*17,CTBP2:NM_001290214:exon4:c.169delG:p.V57Wfs*17,CTBP2:NM_001290215:exon4:c.169delG:p.V57Wfs*17,CTBP2:NM_001321012:exon4:c.169delG:p.V57Wfs*17,CTBP2:NM_001321014:exon4:c.169delG:p.V57Wfs*17,CTBP2:NM_001329:exon4:c.169delG:p.V57Wfs*17;CTBP2:uc001lid.4:exon2:c.373delG:p.V125Wfs*17,CTBP2:uc001lie.4:exon2:c.1789delG:p.V597Wfs*17,CTBP2:uc001lif.4:exon4:c.169delG:p.V57Wfs*17,CTBP2:uc001lih.4:exon4:c.169delG:p.V57Wfs*17,CTBP2:uc009yak.3:exon4:c.169delG:p.V57Wfs*17,CTBP2:uc009yal.3:exon4:c.169delG:p.V57Wfs*17;ENSG00000175029:ENST00000309035:exon2:c.1789delG:p.V597Wfs*17,ENSG00000175029:ENST00000334808:exon2:c.373delG:p.V125Wfs*17,ENSG00000175029:ENST00000337195:exon4:c.169delG:p.V57Wfs*17,ENSG00000175029:ENST00000411419:exon4:c.169delG:p.V57Wfs*17,ENSG00000175029:ENST00000494626:exon4:c.169delG:p.V57Wfs*17,ENSG00000175029:ENST00000531469:exon4:c.169delG:p.V57Wfs*17</t>
  </si>
  <si>
    <t xml:space="preserve">849.60</t>
  </si>
  <si>
    <t xml:space="preserve">78,26</t>
  </si>
  <si>
    <t xml:space="preserve">CTBP2:NM_001363508:exon2:c.301delC:p.R101Afs*19,CTBP2:NM_022802:exon2:c.1717delC:p.R573Afs*19,CTBP2:NM_001321013:exon3:c.97delC:p.R33Afs*19,CTBP2:NM_001083914:exon4:c.97delC:p.R33Afs*19,CTBP2:NM_001290214:exon4:c.97delC:p.R33Afs*19,CTBP2:NM_001290215:exon4:c.97delC:p.R33Afs*19,CTBP2:NM_001321012:exon4:c.97delC:p.R33Afs*19,CTBP2:NM_001321014:exon4:c.97delC:p.R33Afs*19,CTBP2:NM_001329:exon4:c.97delC:p.R33Afs*19;CTBP2:uc001lid.4:exon2:c.301delC:p.R101Afs*19,CTBP2:uc001lie.4:exon2:c.1717delC:p.R573Afs*19,CTBP2:uc001lif.4:exon4:c.97delC:p.R33Afs*19,CTBP2:uc001lih.4:exon4:c.97delC:p.R33Afs*19,CTBP2:uc009yak.3:exon4:c.97delC:p.R33Afs*19,CTBP2:uc009yal.3:exon4:c.97delC:p.R33Afs*19;ENSG00000175029:ENST00000309035:exon2:c.1717delC:p.R573Afs*19,ENSG00000175029:ENST00000334808:exon2:c.301delC:p.R101Afs*19,ENSG00000175029:ENST00000337195:exon4:c.97delC:p.R33Afs*19,ENSG00000175029:ENST00000411419:exon4:c.97delC:p.R33Afs*19,ENSG00000175029:ENST00000494626:exon4:c.97delC:p.R33Afs*19,ENSG00000175029:ENST00000531469:exon4:c.97delC:p.R33Afs*19</t>
  </si>
  <si>
    <t xml:space="preserve">872.60</t>
  </si>
  <si>
    <t xml:space="preserve">262</t>
  </si>
  <si>
    <t xml:space="preserve">222,40</t>
  </si>
  <si>
    <t xml:space="preserve">CTBP2:NM_001321013:exon2:c.9delT:p.V4Wfs*23,CTBP2:NM_001083914:exon3:c.9delT:p.V4Wfs*23,CTBP2:NM_001290214:exon3:c.9delT:p.V4Wfs*23,CTBP2:NM_001290215:exon3:c.9delT:p.V4Wfs*23,CTBP2:NM_001321012:exon3:c.9delT:p.V4Wfs*23,CTBP2:NM_001321014:exon3:c.9delT:p.V4Wfs*23,CTBP2:NM_001329:exon3:c.9delT:p.V4Wfs*23;CTBP2:uc001lif.4:exon3:c.9delT:p.V4Wfs*23,CTBP2:uc001lih.4:exon3:c.9delT:p.V4Wfs*23,CTBP2:uc009yak.3:exon3:c.9delT:p.V4Wfs*23,CTBP2:uc009yal.3:exon3:c.9delT:p.V4Wfs*23;ENSG00000175029:ENST00000337195:exon3:c.9delT:p.V4Wfs*23,ENSG00000175029:ENST00000411419:exon3:c.9delT:p.V4Wfs*23,ENSG00000175029:ENST00000494626:exon3:c.9delT:p.V4Wfs*23,ENSG00000175029:ENST00000531469:exon3:c.9delT:p.V4Wfs*23,ENSG00000175029:ENST00000530884:exon4:c.9delT:p.L3del</t>
  </si>
  <si>
    <t xml:space="preserve">263.60</t>
  </si>
  <si>
    <t xml:space="preserve">164</t>
  </si>
  <si>
    <t xml:space="preserve">147,17</t>
  </si>
  <si>
    <t xml:space="preserve">MUC2:NM_002457:exon21:c.2735_2736insA:p.V914Rfs*29;MUC2:uc001lsx.1:exon21:c.2735_2736insA:p.V914Rfs*29;ENSG00000198788:ENST00000359061:exon21:c.2735_2736insA:p.V914Rfs*29,ENSG00000198788:ENST00000441003:exon21:c.2735_2736insA:p.V914Rfs*29</t>
  </si>
  <si>
    <t xml:space="preserve">3</t>
  </si>
  <si>
    <t xml:space="preserve">4.54632231934197e-05</t>
  </si>
  <si>
    <t xml:space="preserve">mucin 2, oligomeric mucus/gel-forming</t>
  </si>
  <si>
    <t xml:space="preserve">FUNCTION: Coats the epithelia of the intestines, airways, and other mucus membrane-containing organs. Thought to provide a protective, lubricating barrier against particles and infectious agents at mucosal surfaces. Major constituent of both the inner and outer mucus layers of the colon and may play a role in excluding bacteria from the inner mucus layer. {ECO:0000269|PubMed:19432394}.; </t>
  </si>
  <si>
    <t xml:space="preserve">215.60</t>
  </si>
  <si>
    <t xml:space="preserve">149,16</t>
  </si>
  <si>
    <t xml:space="preserve">MUC2:NM_002457:exon21:c.2738_2739insA:p.V914Rfs*29;MUC2:uc001lsx.1:exon21:c.2738_2739insA:p.V914Rfs*29;ENSG00000198788:ENST00000359061:exon21:c.2738_2739insA:p.V914Rfs*29,ENSG00000198788:ENST00000441003:exon21:c.2738_2739insA:p.V914Rfs*29</t>
  </si>
  <si>
    <t xml:space="preserve">GT</t>
  </si>
  <si>
    <t xml:space="preserve">212.60</t>
  </si>
  <si>
    <t xml:space="preserve">166</t>
  </si>
  <si>
    <t xml:space="preserve">150,16</t>
  </si>
  <si>
    <t xml:space="preserve">MUC2:NM_002457:exon21:c.2740_2741del:p.V914Hfs*28;MUC2:uc001lsx.1:exon21:c.2740_2741del:p.V914Hfs*28;ENSG00000198788:ENST00000359061:exon21:c.2740_2741del:p.V914Hfs*28,ENSG00000198788:ENST00000441003:exon21:c.2740_2741del:p.V914Hfs*28</t>
  </si>
  <si>
    <t xml:space="preserve">22</t>
  </si>
  <si>
    <t xml:space="preserve">11,11</t>
  </si>
  <si>
    <t xml:space="preserve">0.000173040691290598</t>
  </si>
  <si>
    <t xml:space="preserve">pleckstrin homology domain containing A7</t>
  </si>
  <si>
    <t xml:space="preserve">FUNCTION: Required for zonula adherens biogenesis and maintenance. Acts via its interaction with KIAA1543/Nezha, which anchors microtubules at their minus-ends to zonula adherens, leading to the recruitment of KIFC3 kinesin to the junctional site. {ECO:0000269|PubMed:19041755}.; </t>
  </si>
  <si>
    <t xml:space="preserve">162.64</t>
  </si>
  <si>
    <t xml:space="preserve">2,5</t>
  </si>
  <si>
    <t xml:space="preserve">9.89423115964736e-16</t>
  </si>
  <si>
    <t xml:space="preserve">anoctamin 5</t>
  </si>
  <si>
    <t xml:space="preserve">FUNCTION: Does not exhibit calcium-activated chloride channel (CaCC) activity.; </t>
  </si>
  <si>
    <t xml:space="preserve">DISEASE: Limb-girdle muscular dystrophy 2L (LGMD2L) [MIM:611307]: An autosomal recessive degenerative myopathy characterized by proximal weakness, weakness of the hip and shoulder girdles and prominent asymmetrical quadriceps femoris and biceps brachii atrophy. {ECO:0000269|PubMed:20096397}. Note=The disease is caused by mutations affecting the gene represented in this entry.; DISEASE: Miyoshi muscular dystrophy 3 (MMD3) [MIM:613319]: A late- onset muscular dystrophy characterized by distal muscle weakness of the lower limbs, calf muscle discomfort and weakness, quadriceps atrophy. Muscle weakness and atrophy may be asymmetric. {ECO:0000269|PubMed:20096397, ECO:0000269|PubMed:22499103}. Note=The disease is caused by mutations affecting the gene represented in this entry.; </t>
  </si>
  <si>
    <t xml:space="preserve">TCTTT</t>
  </si>
  <si>
    <t xml:space="preserve">115.60</t>
  </si>
  <si>
    <t xml:space="preserve">82</t>
  </si>
  <si>
    <t xml:space="preserve">69,13</t>
  </si>
  <si>
    <t xml:space="preserve">MTCH2:NM_001317232:exon12:c.853_854insAAAGA:p.T285Kfs*8,MTCH2:NM_001317233:exon12:c.436_437insAAAGA:p.T146Kfs*8,MTCH2:NM_014342:exon13:c.880_881insAAAGA:p.T294Kfs*8;MTCH2:uc010rhp.2:exon12:c.436_437insAAAGA:p.T146Kfs*8,MTCH2:uc010rho.2:exon13:c.880_881insAAAGA:p.T294Kfs*8;ENSG00000109919:ENST00000542981:exon12:c.436_437insAAAGA:p.T146Kfs*8,ENSG00000109919:ENST00000302503:exon13:c.880_881insAAAGA:p.T294Kfs*8</t>
  </si>
  <si>
    <t xml:space="preserve">0.166788403447163</t>
  </si>
  <si>
    <t xml:space="preserve">mitochondrial carrier 2</t>
  </si>
  <si>
    <t xml:space="preserve">FUNCTION: The substrate transported is not yet known. Induces mitochondrial depolarization.; </t>
  </si>
  <si>
    <t xml:space="preserve">706.64</t>
  </si>
  <si>
    <t xml:space="preserve">59</t>
  </si>
  <si>
    <t xml:space="preserve">31,28</t>
  </si>
  <si>
    <t xml:space="preserve">2.71064232749178e-30</t>
  </si>
  <si>
    <t xml:space="preserve">ATM serine/threonine kinase</t>
  </si>
  <si>
    <t xml:space="preserve">FUNCTION: Serine/threonine protein kinase which activates checkpoint signaling upon double strand breaks (DSBs), apoptosis and genotoxic stresses such as ionizing ultraviolet A light (UVA), thereby acting as a DNA damage sensor. Recognizes the substrate consensus sequence [ST]-Q. Phosphorylates 'Ser-139' of histone variant H2AX/H2AFX at double strand breaks (DSBs), thereby regulating DNA damage response mechanism. Also plays a role in pre-B cell allelic exclusion, a process leading to expression of a single immunoglobulin heavy chain allele to enforce clonality and monospecific recognition by the B-cell antigen receptor (BCR) expressed on individual B-lymphocytes. After the introduction of DNA breaks by the RAG complex on one immunoglobulin allele, acts by mediating a repositioning of the second allele to pericentromeric heterochromatin, preventing accessibility to the RAG complex and recombination of the second allele. Also involved in signal transduction and cell cycle control. May function as a tumor suppressor. Necessary for activation of ABL1 and SAPK. Phosphorylates DYRK2, CHEK2, p53/TP53, FANCD2, NFKBIA, BRCA1, CTIP, nibrin (NBN), TERF1, RAD9 and DCLRE1C. May play a role in vesicle and/or protein transport. Could play a role in T-cell development, gonad and neurological function. Plays a role in replication-dependent histone mRNA degradation. Binds DNA ends. Phosphorylation of DYRK2 in nucleus in response to genotoxic stress prevents its MDM2-mediated ubiquitination and subsequent proteasome degradation. Phosphorylates ATF2 which stimulates its function in DNA damage response. {ECO:0000269|PubMed:10973490, ECO:0000269|PubMed:12556884, ECO:0000269|PubMed:14871926, ECO:0000269|PubMed:15916964, ECO:0000269|PubMed:16086026, ECO:0000269|PubMed:16858402, ECO:0000269|PubMed:17923702, ECO:0000269|PubMed:19965871}.; </t>
  </si>
  <si>
    <t xml:space="preserve">DISEASE: Ataxia telangiectasia (AT) [MIM:208900]: A rare recessive disorder characterized by progressive cerebellar ataxia, dilation of the blood vessels in the conjunctiva and eyeballs, immunodeficiency, growth retardation and sexual immaturity. Patients have a strong predisposition to cancer; about 30% of patients develop tumors, particularly lymphomas and leukemias. Cells from affected individuals are highly sensitive to damage by ionizing radiation and resistant to inhibition of DNA synthesis following irradiation. {ECO:0000269|PubMed:10234507, ECO:0000269|PubMed:10425038, ECO:0000269|PubMed:10817650, ECO:0000269|PubMed:10873394, ECO:0000269|PubMed:7792600, ECO:0000269|PubMed:8698354, ECO:0000269|PubMed:8755918, ECO:0000269|PubMed:8789452, ECO:0000269|PubMed:8797579, ECO:0000269|PubMed:8808599, ECO:0000269|PubMed:8845835, ECO:0000269|PubMed:9043869, ECO:0000269|PubMed:9150358, ECO:0000269|PubMed:9443866, ECO:0000269|PubMed:9450874, ECO:0000269|PubMed:9463314, ECO:0000269|PubMed:9497252, ECO:0000269|PubMed:9521587, ECO:0000269|PubMed:9711876, ECO:0000269|PubMed:9792409, ECO:0000269|PubMed:9792410, ECO:0000269|PubMed:9872980, ECO:0000269|PubMed:9887333}. Note=The disease is caused by mutations affecting the gene represented in this entry.; DISEASE: Note=Defects in ATM contribute to T-cell acute lymphoblastic leukemia (TALL) and T-prolymphocytic leukemia (TPLL). TPLL is characterized by a high white blood cell count, with a predominance of prolymphocytes, marked splenomegaly, lymphadenopathy, skin lesions and serous effusion. The clinical course is highly aggressive, with poor response to chemotherapy and short survival time. TPLL occurs both in adults as a sporadic disease and in younger AT patients. {ECO:0000269|PubMed:9288106, ECO:0000269|PubMed:9334731, ECO:0000269|PubMed:9463314, ECO:0000269|PubMed:9488043, ECO:0000269|PubMed:9573030}.; DISEASE: Note=Defects in ATM contribute to B-cell non-Hodgkin lymphomas (BNHL), including mantle cell lymphoma (MCL). {ECO:0000269|PubMed:10397742, ECO:0000269|PubMed:10706620, ECO:0000269|PubMed:9288106}.; DISEASE: Note=Defects in ATM contribute to B-cell chronic lymphocytic leukemia (BCLL). BCLL is the commonest form of leukemia in the elderly. It is characterized by the accumulation of mature CD5+ B-lymphocytes, lymphadenopathy, immunodeficiency and bone marrow failure. {ECO:0000269|PubMed:10023947, ECO:0000269|PubMed:10397742, ECO:0000269|PubMed:9892178}.; </t>
  </si>
  <si>
    <t xml:space="preserve">166.64</t>
  </si>
  <si>
    <t xml:space="preserve">15</t>
  </si>
  <si>
    <t xml:space="preserve">7,8</t>
  </si>
  <si>
    <t xml:space="preserve">4.26871314762917e-06</t>
  </si>
  <si>
    <t xml:space="preserve">DIX domain containing 1</t>
  </si>
  <si>
    <t xml:space="preserve">FUNCTION: Positive effector of the Wnt signaling pathway; activates WNT3A signaling via DVL2. Regulates JNK activation by AXIN1 and DVL2. {ECO:0000269|PubMed:15262978, ECO:0000269|PubMed:21189423}.; </t>
  </si>
  <si>
    <t xml:space="preserve">607.64</t>
  </si>
  <si>
    <t xml:space="preserve">289</t>
  </si>
  <si>
    <t xml:space="preserve">256,33</t>
  </si>
  <si>
    <t xml:space="preserve">UTR3;exonic;splicing</t>
  </si>
  <si>
    <t xml:space="preserve">NM_001002905:exon2:c.862-1C&gt;T;OR8G5:NM_001005198:exon1:c.C966T:p.P322P;uc031qep.1:c.*967C&gt;T;ENSG00000255298:ENST00000524943:exon1:c.C966T:p.P322P,ENSG00000197849:ENST00000341493:exon3:c.C861T:p.P287P</t>
  </si>
  <si>
    <t xml:space="preserve">0.285950158784041;0.652742658849299</t>
  </si>
  <si>
    <t xml:space="preserve">olfactory receptor family 8 subfamily G member 1 (gene/pseudogene);olfactory receptor family 8 subfamily G member 5</t>
  </si>
  <si>
    <t xml:space="preserve">FUNCTION: Odorant receptor. {ECO:0000305}.; ;FUNCTION: Odorant receptor. {ECO:0000305}.; </t>
  </si>
  <si>
    <t xml:space="preserve">59.60</t>
  </si>
  <si>
    <t xml:space="preserve">150</t>
  </si>
  <si>
    <t xml:space="preserve">131,19</t>
  </si>
  <si>
    <t xml:space="preserve">NM_015261:exon7:c.795-2-&gt;T;uc001qhd.1:exon7:c.795-2-&gt;T;ENST00000534532:exon7:c.795-2-&gt;T;ENST00000534548:exon7:c.795-2-&gt;T;ENST00000525964:exon7:c.795-2-&gt;T;ENST00000533155:exon6:c.632-2-&gt;T;ENST00000533155:exon6:UTR3</t>
  </si>
  <si>
    <t xml:space="preserve">0.0731520869970458</t>
  </si>
  <si>
    <t xml:space="preserve">non-SMC condensin II complex subunit D3</t>
  </si>
  <si>
    <t xml:space="preserve">FUNCTION: Regulatory subunit of the condensin-2 complex, a complex which establishes mitotic chromosome architecture and is involved in physical rigidity of the chromatid axis. {ECO:0000269|PubMed:14532007}.; </t>
  </si>
  <si>
    <t xml:space="preserve">GenotypeConflict</t>
  </si>
  <si>
    <t xml:space="preserve">234.64</t>
  </si>
  <si>
    <t xml:space="preserve">1.32902210264609e-22</t>
  </si>
  <si>
    <t xml:space="preserve">alpha-2-macroglobulin like 1</t>
  </si>
  <si>
    <t xml:space="preserve">FUNCTION: Is able to inhibit all four classes of proteinases by a unique 'trapping' mechanism. This protein has a peptide stretch, called the 'bait region' which contains specific cleavage sites for different proteinases. When a proteinase cleaves the bait region, a conformational change is induced in the protein which traps the proteinase. The entrapped enzyme remains active against low molecular weight substrates (activity against high molecular weight substrates is greatly reduced). Following cleavage in the bait region a thioester bond is hydrolyzed and mediates the covalent binding of the protein to the proteinase (By similarity). Displays inhibitory activity against chymotrypsin, papain, thermolysin, subtilisin A and, to a lesser extent, elastase but not trypsin. May play an important role during desquamation by inhibiting extracellular proteases. {ECO:0000250|UniProtKB:P01023, ECO:0000269|PubMed:16298998}.; </t>
  </si>
  <si>
    <t xml:space="preserve">GG</t>
  </si>
  <si>
    <t xml:space="preserve">245</t>
  </si>
  <si>
    <t xml:space="preserve">226,19</t>
  </si>
  <si>
    <t xml:space="preserve">TAS2R30:NM_001097643:exon1:c.701_702insCC:p.L236Ffs*11;TAS2R30:uc009zhs.1:exon1:c.701_702insCC:p.L236Ffs*11;ENSG00000256188:ENST00000539585:exon1:c.701_702insCC:p.L236Ffs*11</t>
  </si>
  <si>
    <t xml:space="preserve">0.00170314797923996</t>
  </si>
  <si>
    <t xml:space="preserve">taste 2 receptor member 30</t>
  </si>
  <si>
    <t xml:space="preserve">FUNCTION: Receptor that may play a role in the perception of bitterness and is gustducin-linked. May play a role in sensing the chemical composition of the gastrointestinal content. The activity of this receptor may stimulate alpha gustducin, mediate PLC-beta-2 activation and lead to the gating of TRPM5 (By similarity). {ECO:0000250}.; </t>
  </si>
  <si>
    <t xml:space="preserve">623.64</t>
  </si>
  <si>
    <t xml:space="preserve">71</t>
  </si>
  <si>
    <t xml:space="preserve">41,30</t>
  </si>
  <si>
    <t xml:space="preserve">1.77521150622888e-18</t>
  </si>
  <si>
    <t xml:space="preserve">PLBD1 antisense RNA 1;guanylate cyclase 2C</t>
  </si>
  <si>
    <t xml:space="preserve">FUNCTION: Receptor for the E.coli heat-stable enterotoxin (E.coli enterotoxin markedly stimulates the accumulation of cGMP in mammalian cells expressing GC-C). Also activated by the endogenous peptides guanylin and uroguanylin.; </t>
  </si>
  <si>
    <t xml:space="preserve">DISEASE: Diarrhea 6 (DIAR6) [MIM:614616]: A relatively mild, early-onset chronic diarrhea that may be associated with increased susceptibility to inflammatory bowel disease, small bowel obstruction, and esophagitis. {ECO:0000269|PubMed:22436048}. Note=The disease is caused by mutations affecting the gene represented in this entry.; DISEASE: Meconium ileus (MECIL) [MIM:614665]: A condition characterized by a intestinal obstruction due to inspissated meconium in the distal ileum and cecum, which develops in utero and presents shortly after birth as a failure to pass meconium. Meconium ileus is a known clinical manifestation of cystic fibrosis. {ECO:0000269|PubMed:22521417}. Note=The disease is caused by mutations affecting the gene represented in this entry.; </t>
  </si>
  <si>
    <t xml:space="preserve">210.60</t>
  </si>
  <si>
    <t xml:space="preserve">47,15</t>
  </si>
  <si>
    <t xml:space="preserve">ENSG00000087494:ENST00000538310:exon3:c.557dupA:p.E187Gfs*17,ENSG00000087494:ENST00000354417:exon5:c.557dupA:p.E187Gfs*17</t>
  </si>
  <si>
    <t xml:space="preserve">0.921296517827875</t>
  </si>
  <si>
    <t xml:space="preserve">parathyroid hormone-like hormone</t>
  </si>
  <si>
    <t xml:space="preserve">FUNCTION: Neuroendocrine peptide which is a critical regulator of cellular and organ growth, development, migration, differentiation and survival and of epithelial calcium ion transport. Regulates endochondral bone development and epithelial-mesenchymal interactions during the formation of the mammary glands and teeth. Required for skeletal homeostasis. Promotes mammary mesenchyme differentiation and bud outgrowth by modulating mesenchymal cell responsiveness to BMPs. Upregulates BMPR1A expression in the mammary mesenchyme and this increases the sensitivity of these cells to BMPs and allows them to respond to BMP4 in a paracrine and/or autocrine fashion. BMP4 signaling in the mesenchyme, in turn, triggers epithelial outgrowth and augments MSX2 expression, which causes the mammary mesenchyme to inhibit hair follicle formation within the nipple sheath (By similarity). Promotes colon cancer cell migration and invasion in an integrin alpha-6/beta-1- dependent manner through activation of Rac1. {ECO:0000250, ECO:0000269|PubMed:20637541}.; </t>
  </si>
  <si>
    <t xml:space="preserve">DISEASE: Brachydactyly E2 (BDE2) [MIM:613382]: A form of brachydactyly. Brachydactyly defines a group of inherited malformations characterized by shortening of the digits due to abnormal development of the phalanges and/or the metacarpals. Brachydactyly type E is characterized by shortening of the fingers mainly in the metacarpals and metatarsals. Wide variability in the number of digits affected occurs from person to person, even in the same family. Some individuals are moderately short of stature. In brachydactyly type E2 variable combinations of metacarpals are involved, with shortening also of the first and third distal and the second and fifth middle phalanges. {ECO:0000269|PubMed:20170896}. Note=The disease is caused by mutations affecting the gene represented in this entry.; </t>
  </si>
  <si>
    <t xml:space="preserve">203.64</t>
  </si>
  <si>
    <t xml:space="preserve">ncRNA_intronic</t>
  </si>
  <si>
    <t xml:space="preserve">168.64</t>
  </si>
  <si>
    <t xml:space="preserve">65</t>
  </si>
  <si>
    <t xml:space="preserve">54,11</t>
  </si>
  <si>
    <t xml:space="preserve">DEAD/H-box helicase 11</t>
  </si>
  <si>
    <t xml:space="preserve">FUNCTION: DNA helicase involved in cellular proliferation. Possesses DNA-dependent ATPase and helicase activities. This helicase translocates on single-stranded DNA in the 5' to 3' direction in the presence of ATP and, to a lesser extent, dATP. Its unwinding activity requires a 5'-single-stranded region for helicase loading, since flush-ended duplex structures do not support unwinding. The helicase activity is capable of displacing duplex regions up to 100 bp, which can be extended to 500 bp by RPA or the cohesion establishment factor, the Ctf18-RFC (replication factor C) complex activities. Stimulates the flap endonuclease activity of FEN1. Required for normal sister chromatid cohesion. Required for recruitment of bovine papillomavirus type 1 regulatory protein E2 to mitotic chrmosomes and for viral genome maintenance. Required for maintaining the chromosome segregation and is essential for embryonic development and the prevention of aneuploidy. May function during either S, G2, or M phase of the cell cycle. Binds to both single- and double-stranded DNA. {ECO:0000269|PubMed:10648783, ECO:0000269|PubMed:17105772, ECO:0000269|PubMed:17189189, ECO:0000269|PubMed:18499658, ECO:0000269|PubMed:9013641}.; </t>
  </si>
  <si>
    <t xml:space="preserve">754.02</t>
  </si>
  <si>
    <t xml:space="preserve">0,13,9</t>
  </si>
  <si>
    <t xml:space="preserve">0.00438548410684657</t>
  </si>
  <si>
    <t xml:space="preserve">aquaporin 5</t>
  </si>
  <si>
    <t xml:space="preserve">FUNCTION: Forms a water-specific channel. Implicated in the generation of saliva, tears, and pulmonary secretions. Required for TRPV4 activation by hypotonicity (PubMed:16571723). Together with TRPV4, controls regulatory volume decrease in salivary epithelial cells (PubMed:16571723). {ECO:0000269|PubMed:16571723}.; </t>
  </si>
  <si>
    <t xml:space="preserve">DISEASE: Keratoderma, palmoplantar, Bothnian type (PPKB) [MIM:600231]: A dermatological disorder characterized by diffuse non-epidermolytic hyperkeratosis of the skin of palms and soles. PPKB is frequently complicated by fungal infections. {ECO:0000269|PubMed:23830519}. Note=The disease is caused by mutations affecting the gene represented in this entry.; </t>
  </si>
  <si>
    <t xml:space="preserve">116.64</t>
  </si>
  <si>
    <t xml:space="preserve">5,4</t>
  </si>
  <si>
    <t xml:space="preserve">0.000102418586669595</t>
  </si>
  <si>
    <t xml:space="preserve">transcription factor CP2</t>
  </si>
  <si>
    <t xml:space="preserve">FUNCTION: Binds a variety of cellular and viral promoters including fibrinogen, alpha-globin, SV40 and HIV-1 promoters. Activation of the alpha-globin promoter in erythroid cells is via synergistic interaction with UBP1 (By similarity). Functions as part of the SSP (stage selector protein) complex. Facilitates the interaction of the gamma-globin genes with enhancer elements contained in the locus control region in fetal erythroid cells. Interacts by binding to the stage selector element (SSE) in the proximal gamma-globin promoter. {ECO:0000250, ECO:0000269|PubMed:10455131, ECO:0000269|PubMed:1732747, ECO:0000269|PubMed:8035790, ECO:0000269|PubMed:8157699}.; </t>
  </si>
  <si>
    <t xml:space="preserve">279.64</t>
  </si>
  <si>
    <t xml:space="preserve">23,10</t>
  </si>
  <si>
    <t xml:space="preserve">4.54287182926272e-10</t>
  </si>
  <si>
    <t xml:space="preserve">aladin WD repeat nucleoporin</t>
  </si>
  <si>
    <t xml:space="preserve">FUNCTION: Plays a role in the normal development of the peripheral and central nervous system.; </t>
  </si>
  <si>
    <t xml:space="preserve">37</t>
  </si>
  <si>
    <t xml:space="preserve">14,23</t>
  </si>
  <si>
    <t xml:space="preserve">0.94673728390002</t>
  </si>
  <si>
    <t xml:space="preserve">phosphodiesterase 1B</t>
  </si>
  <si>
    <t xml:space="preserve">FUNCTION: Cyclic nucleotide phosphodiesterase with a dual- specificity for the second messengers cAMP and cGMP, which are key regulators of many important physiological processes. Has a preference for cGMP as a substrate. {ECO:0000269|PubMed:15260978}.; </t>
  </si>
  <si>
    <t xml:space="preserve">GGTC</t>
  </si>
  <si>
    <t xml:space="preserve">311.60</t>
  </si>
  <si>
    <t xml:space="preserve">144</t>
  </si>
  <si>
    <t xml:space="preserve">125,19</t>
  </si>
  <si>
    <t xml:space="preserve">CTDSP2:NM_005730:exon7:c.636_639del:p.K212Nfs*34;CTDSP2:uc010ssg.2:exon2:c.258_261del:p.K86Nfs*34,CTDSP2:uc001sqm.3:exon7:c.636_639del:p.K212Nfs*34,CTDSP2:uc009zqf.3:exon7:c.180_183del:p.K60Nfs*34;ENSG00000175215:ENST00000549039:exon3:c.198_201del:p.K66Nfs*34,ENSG00000175215:ENST00000398073:exon7:c.636_639del:p.K212Nfs*34,ENSG00000175215:ENST00000547701:exon7:c.180_183del:p.K60Nfs*34</t>
  </si>
  <si>
    <t xml:space="preserve">1037.64</t>
  </si>
  <si>
    <t xml:space="preserve">78</t>
  </si>
  <si>
    <t xml:space="preserve">37,41</t>
  </si>
  <si>
    <t xml:space="preserve">0.999999398861806</t>
  </si>
  <si>
    <t xml:space="preserve">neuron navigator 3</t>
  </si>
  <si>
    <t xml:space="preserve">FUNCTION: May regulate IL2 production by T-cells. May be involved in neuron regeneration. {ECO:0000269|PubMed:16166283}.; </t>
  </si>
  <si>
    <t xml:space="preserve">DISEASE: Note=A chromosomal aberration disrupting NAV3 has been found in patients with Sezary syndrome (PubMed:16166283). Translocation t(12;18)(q21;q21.2) (PubMed:16166283). {ECO:0000269|PubMed:16166283}.; </t>
  </si>
  <si>
    <t xml:space="preserve">1315.02</t>
  </si>
  <si>
    <t xml:space="preserve">21,58,45</t>
  </si>
  <si>
    <t xml:space="preserve">UTR3;ncRNA_exonic</t>
  </si>
  <si>
    <t xml:space="preserve">NM_001111284:c.*2374_*2375insA;NM_001111283:c.*2408_*2409insA;NM_000618:c.*2374_*2375insA;ENST00000456098:c.*2408_*2409insA;ENST00000337514:c.*2374_*2375insA</t>
  </si>
  <si>
    <t xml:space="preserve">0.469523496452965</t>
  </si>
  <si>
    <t xml:space="preserve">insulin like growth factor 1</t>
  </si>
  <si>
    <t xml:space="preserve">FUNCTION: The insulin-like growth factors, isolated from plasma, are structurally and functionally related to insulin but have a much higher growth-promoting activity. May be a physiological regulator of [1-14C]-2-deoxy-D-glucose (2DG) transport and glycogen synthesis in osteoblasts. Stimulates glucose transport in rat bone-derived osteoblastic (PyMS) cells and is effective at much lower concentrations than insulin, not only regarding glycogen and DNA synthesis but also with regard to enhancing glucose uptake. May play a role in synapse maturation. {ECO:0000269|PubMed:21076856, ECO:0000269|PubMed:24132240}.; </t>
  </si>
  <si>
    <t xml:space="preserve">DISEASE: Insulin-like growth factor I deficiency (IGF1 deficiency) [MIM:608747]: Autosomal recessive disorder characterized by growth retardation, sensorineural deafness and mental retardation. {ECO:0000269|PubMed:8857020}. Note=The disease is caused by mutations affecting the gene represented in this entry.; </t>
  </si>
  <si>
    <t xml:space="preserve">GTGCGTGT</t>
  </si>
  <si>
    <t xml:space="preserve">2696.02</t>
  </si>
  <si>
    <t xml:space="preserve">132</t>
  </si>
  <si>
    <t xml:space="preserve">12,22,98</t>
  </si>
  <si>
    <t xml:space="preserve">UTR5;exonic;intronic</t>
  </si>
  <si>
    <t xml:space="preserve">uc001tyx.3:c.-260_-259delins-;ENSG00000157782:ENST00000453000:exon1:c.17_24del:p.A7Vfs*36</t>
  </si>
  <si>
    <t xml:space="preserve">0.994401234059643</t>
  </si>
  <si>
    <t xml:space="preserve">calcium binding protein 1</t>
  </si>
  <si>
    <t xml:space="preserve">FUNCTION: Modulates calcium-dependent activity of inositol 1,4,5- triphosphate receptors (ITPRs). Inhibits agonist-induced intracellular calcium signaling. Enhances inactivation and does not support calcium-dependent facilitation of voltage-dependent P/Q-type calcium channels. Causes calcium-dependent facilitation and inhibits inactivation of L-type calcium channels by binding to the same sites as calmodulin in the C-terminal domain of CACNA1C, but resulting in an opposit effects on channel function. Suppresses the calcium-dependent inactivation of CACNA1D (By similarity). Inhibits TRPC5 channels. Prevents NMDA receptor- induced cellular degeneration (By similarity). {ECO:0000250, ECO:0000269|PubMed:11865310, ECO:0000269|PubMed:14570872, ECO:0000269|PubMed:15140941, ECO:0000269|PubMed:15895247, ECO:0000269|PubMed:15980432}.; </t>
  </si>
  <si>
    <t xml:space="preserve">1270.64</t>
  </si>
  <si>
    <t xml:space="preserve">50,57</t>
  </si>
  <si>
    <t xml:space="preserve">0.79499196891634</t>
  </si>
  <si>
    <t xml:space="preserve">ubiquitin specific peptidase 12</t>
  </si>
  <si>
    <t xml:space="preserve">FUNCTION: Deubiquitinating enzyme. Has almost no deubiquitinating activity by itself and requires the interaction with WDR48 to have a high activity. Not involved in deubiquitination of monoubiquitinated FANCD2. {ECO:0000269|PubMed:19075014}.; </t>
  </si>
  <si>
    <t xml:space="preserve">431.64</t>
  </si>
  <si>
    <t xml:space="preserve">13,15</t>
  </si>
  <si>
    <t xml:space="preserve">0.920443069002851</t>
  </si>
  <si>
    <t xml:space="preserve">ribosomal protein L21</t>
  </si>
  <si>
    <t xml:space="preserve">DISEASE: Hypotrichosis 12 (HYPT12) [MIM:615885]: A form of hypotrichosis, a condition characterized by the presence of less than the normal amount of hair and abnormal hair follicles and shafts, which are thin and atrophic. The extent of scalp and body hair involvement can be very variable, within as well as between families. HYPT12 patients have normal scalp hair density at birth. Hair loss begins during the first 6 months of life and gradually progresses to nearly complete loss of scalp hair. The remaining hairs grow slowly and are thin, sparse, dry, and fragile. Body hair, axillary and pubic hair, eyebrows and eyelashes are also sparse or absent. {ECO:0000269|PubMed:21412954}. Note=The disease is caused by mutations affecting the gene represented in this entry.; </t>
  </si>
  <si>
    <t xml:space="preserve">chr14</t>
  </si>
  <si>
    <t xml:space="preserve">1580.60</t>
  </si>
  <si>
    <t xml:space="preserve">126</t>
  </si>
  <si>
    <t xml:space="preserve">64,62</t>
  </si>
  <si>
    <t xml:space="preserve">HEATR5A:NM_015473:exon36:c.6107delA:p.N2036Tfs*6;HEATR5A:uc010ami.3:exon28:c.4697delA:p.N1566Tfs*6,HEATR5A:uc001wrf.4:exon36:c.6107delA:p.N2036Tfs*6;ENSG00000129493:ENST00000439727:exon30:c.5228delA:p.N1743Tfs*6,ENSG00000129493:ENST00000439348:exon34:c.5864delA:p.N1955Tfs*6,ENSG00000129493:ENST00000389961:exon35:c.6089delA:p.N2030Tfs*6,ENSG00000129493:ENST00000543095:exon36:c.6107delA:p.N2036Tfs*6</t>
  </si>
  <si>
    <t xml:space="preserve">HEAT repeat containing 5A</t>
  </si>
  <si>
    <t xml:space="preserve">139.64</t>
  </si>
  <si>
    <t xml:space="preserve">0.605609113854515</t>
  </si>
  <si>
    <t xml:space="preserve">methylenetetrahydrofolate dehydrogenase (NADP+ dependent) 1, methenyltetrahydrofolate cyclohydrolase, formyltetrahydrofolate synthetase</t>
  </si>
  <si>
    <t xml:space="preserve">DISEASE: Neural tube defects, folate-sensitive (NTDFS) [MIM:601634]: The most common NTDs are open spina bifida (myelomeningocele) and anencephaly. {ECO:0000269|PubMed:12384833, ECO:0000269|PubMed:16552426, ECO:0000269|PubMed:9611072}. Note=Disease susceptibility is associated with variations affecting the gene represented in this entry.; DISEASE: Colorectal cancer (CRC) [MIM:114500]: A complex disease characterized by malignant lesions arising from the inner wall of the large intestine (the colon) and the rectum. Genetic alterations are often associated with progression from premalignant lesion (adenoma) to invasive adenocarcinoma. Risk factors for cancer of the colon and rectum include colon polyps, long-standing ulcerative colitis, and genetic family history. Note=Disease susceptibility may be associated with variations affecting the gene represented in this entry.; DISEASE: Note=MTHFD1 deficiency, due to mutation in this gene, can cause a metabolic syndrome with variable features including hyperhomocysteinemia, megaloblastic anemia, hemolytic uremic syndrome (HUS), severe combined immunodeficiency, microangiopathy and retinopathy. Symptoms improve after treatment with hydroxocobalamin, betaine and folinic acid. {ECO:0000269|PubMed:21813566, ECO:0000269|PubMed:25633902}.; </t>
  </si>
  <si>
    <t xml:space="preserve">TC</t>
  </si>
  <si>
    <t xml:space="preserve">3579.02</t>
  </si>
  <si>
    <t xml:space="preserve">1,12,76</t>
  </si>
  <si>
    <t xml:space="preserve">5.80341698067131e-06</t>
  </si>
  <si>
    <t xml:space="preserve">thyroid stimulating hormone receptor</t>
  </si>
  <si>
    <t xml:space="preserve">FUNCTION: Receptor for thyrothropin. Plays a central role in controlling thyroid cell metabolism. The activity of this receptor is mediated by G proteins which activate adenylate cyclase. Also acts as a receptor for thyrostimulin (GPA2+GPB5). {ECO:0000269|PubMed:12045258}.; </t>
  </si>
  <si>
    <t xml:space="preserve">DISEASE: Note=Defects in TSHR are found in patients affected by hyperthyroidism with different etiologies. Somatic, constitutively activating TSHR mutations and/or constitutively activating G(s)alpha mutations have been identified in toxic thyroid nodules (TTNs) that are the predominant cause of hyperthyroidism in iodine deficient areas. These mutations lead to TSH independent activation of the cAMP cascade resulting in thyroid growth and hormone production. TSHR mutations are found in autonomously functioning thyroid nodules (AFTN), toxic multinodular goiter (TMNG) and hyperfunctioning thyroid adenomas (HTA). TMNG encompasses a spectrum of different clinical entities, ranging from a single hyperfunctioning nodule within an enlarged thyroid, to multiple hyperfunctioning areas scattered throughout the gland. HTA are discrete encapsulated neoplasms characterized by TSH- independent autonomous growth, hypersecretion of thyroid hormones, and TSH suppression. Defects in TSHR are also a cause of thyroid neoplasms (papillary and follicular cancers).; DISEASE: Note=Autoantibodies against TSHR are directly responsible for the pathogenesis and hyperthyroidism of Graves disease. Antibody interaction with TSHR results in an uncontrolled receptor stimulation.; DISEASE: Hypothyroidism, congenital, non-goitrous, 1 (CHNG1) [MIM:275200]: A non-autoimmune condition characterized by resistance to thyroid-stimulating hormone (TSH) leading to increased levels of plasma TSH and low levels of thyroid hormone. It presents variable severity depending on the completeness of the defect. Most patients are euthyroid and asymptomatic, with a normal sized thyroid gland. Only a subset of patients develop hypothyroidism and present a hypoplastic thyroid gland. {ECO:0000269|PubMed:10720030, ECO:0000269|PubMed:11095460, ECO:0000269|PubMed:11442002, ECO:0000269|PubMed:12050212, ECO:0000269|PubMed:14725684, ECO:0000269|PubMed:15531543, ECO:0000269|PubMed:7528344, ECO:0000269|PubMed:8954020, ECO:0000269|PubMed:9100579, ECO:0000269|PubMed:9185526, ECO:0000269|PubMed:9329388}. Note=The disease is caused by mutations affecting the gene represented in this entry.; DISEASE: Familial gestational hyperthyroidism (HTFG) [MIM:603373]: A condition characterized by abnormally high levels of serum thyroid hormones occurring during early pregnancy. {ECO:0000269|PubMed:9854118}. Note=The disease is caused by mutations affecting the gene represented in this entry.; DISEASE: Hyperthyroidism, non-autoimmune (HTNA) [MIM:609152]: A condition characterized by abnormally high levels of serum thyroid hormones, thyroid hyperplasia, goiter and lack of anti-thyroid antibodies. Typical features of Graves disease such as exophthalmia, myxedema, antibodies anti-TSH receptor and lymphocytic infiltration of the thyroid gland are absent. {ECO:0000269|PubMed:10199795, ECO:0000269|PubMed:10852462, ECO:0000269|PubMed:11081252, ECO:0000269|PubMed:11127522, ECO:0000269|PubMed:11201847, ECO:0000269|PubMed:11517004, ECO:0000269|PubMed:11549687, ECO:0000269|PubMed:15163335, ECO:0000269|PubMed:7800007, ECO:0000269|PubMed:7920658, ECO:0000269|PubMed:8636266, ECO:0000269|PubMed:8964822, ECO:0000269|PubMed:9349581, ECO:0000269|PubMed:9360555, ECO:0000269|PubMed:9398746, ECO:0000269|PubMed:9589634}. Note=The disease is caused by mutations affecting the gene represented in this entry.; </t>
  </si>
  <si>
    <t xml:space="preserve">256.64</t>
  </si>
  <si>
    <t xml:space="preserve">3,8</t>
  </si>
  <si>
    <t xml:space="preserve">0.00276924897730325</t>
  </si>
  <si>
    <t xml:space="preserve">cyclin-dependent kinase 2 interacting protein</t>
  </si>
  <si>
    <t xml:space="preserve">FUNCTION: Interacts with the components of the replication complex and 2 kinases, CDK2 and CDC7, thereby providing a functional and physical link between CDK2 and CDC7 during firing of the origins of replication. Regulates ATR-mediated checkpoint signaling. {ECO:0000269|PubMed:16082200, ECO:0000269|PubMed:19889979}.; </t>
  </si>
  <si>
    <t xml:space="preserve">1154.02</t>
  </si>
  <si>
    <t xml:space="preserve">0,31,7</t>
  </si>
  <si>
    <t xml:space="preserve">LOC283710:NM_001243538:exon2:c.75delC:p.R26Gfs*101;LOC283710:uc021sib.1:exon2:c.75delC:p.R26Gfs*101</t>
  </si>
  <si>
    <t xml:space="preserve">322.64</t>
  </si>
  <si>
    <t xml:space="preserve">122</t>
  </si>
  <si>
    <t xml:space="preserve">98,24</t>
  </si>
  <si>
    <t xml:space="preserve">NM_006293:exon12:c.1484-1G&gt;T;NM_001330264:exon12:c.1349-1G&gt;T;uc001zof.2:exon12:c.1484-1G&gt;T;ENST00000559066:exon12:c.1349-1G&gt;T;ENST00000263798:exon12:c.1484-1G&gt;T</t>
  </si>
  <si>
    <t xml:space="preserve">0.761822542682681</t>
  </si>
  <si>
    <t xml:space="preserve">TYRO3 protein tyrosine kinase</t>
  </si>
  <si>
    <t xml:space="preserve">FUNCTION: Receptor tyrosine kinase that transduces signals from the extracellular matrix into the cytoplasm by binding to several ligands including TULP1 or GAS6. Regulates many physiological processes including cell survival, migration and differentiation. Ligand binding at the cell surface induces dimerization and autophosphorylation of TYRO3 on its intracellular domain that provides docking sites for downstream signaling molecules. Following activation by ligand, interacts with PIK3R1 and thereby enhances PI3-kinase activity. Activates the AKT survival pathway, including nuclear translocation of NF-kappa-B and up-regulation of transcription of NF-kappa-B-regulated genes. TYRO3 signaling plays a role in various processes such as neuron protection from excitotoxic injury, platelet aggregation and cytoskeleton reorganization. Plays also an important role in inhibition of Toll-like receptors (TLRs)-mediated innate immune response by activating STAT1, which selectively induces production of suppressors of cytokine signaling SOCS1 and SOCS3. {ECO:0000269|PubMed:20546121}.; </t>
  </si>
  <si>
    <t xml:space="preserve">2383.06</t>
  </si>
  <si>
    <t xml:space="preserve">75</t>
  </si>
  <si>
    <t xml:space="preserve">0,75</t>
  </si>
  <si>
    <t xml:space="preserve">0.999999999395933</t>
  </si>
  <si>
    <t xml:space="preserve">Dmx like 2</t>
  </si>
  <si>
    <t xml:space="preserve">FUNCTION: May serve as a scaffold protein for MADD and RAB3GA on synaptic vesicles (PubMed:11809763). Plays a role in the brain as a key controller of neuronal and endocrine homeostatic processes (By similarity). {ECO:0000250|UniProtKB:Q8BPN8, ECO:0000269|PubMed:11809763}.; </t>
  </si>
  <si>
    <t xml:space="preserve">DISEASE: Polyendocrine-polyneuropathy syndrome (PEPNS) [MIM:616113]: A progressive endocrine and neurodevelopmental disorder manifesting early in childhood with growth retardation and recurrent episodes of profound asymptomatic hypoglycemia. PEPNS is characterized by central hypothyroidism, hypogonadotropic hypogonadism, incomplete puberty, progressive non-autoimmune insulin-dependent diabetes mellitus, peripheral demyelinating sensorimotor polyneuropathy, and cerebellar and pyramidal signs. {ECO:0000269|PubMed:25248098}. Note=The disease is caused by mutations affecting the gene represented in this entry.; </t>
  </si>
  <si>
    <t xml:space="preserve">1073.64</t>
  </si>
  <si>
    <t xml:space="preserve">1488.02</t>
  </si>
  <si>
    <t xml:space="preserve">109</t>
  </si>
  <si>
    <t xml:space="preserve">20,41,48</t>
  </si>
  <si>
    <t xml:space="preserve">NM_001291858:c.*5773delT;NM_000875:c.*5773delT;uc002bul.3:c.*5773delT;uc010bon.3:c.*5773delT</t>
  </si>
  <si>
    <t xml:space="preserve">0.552974259646112</t>
  </si>
  <si>
    <t xml:space="preserve">insulin like growth factor 1 receptor</t>
  </si>
  <si>
    <t xml:space="preserve">FUNCTION: Receptor tyrosine kinase which mediates actions of insulin-like growth factor 1 (IGF1). Binds IGF1 with high affinity and IGF2 and insulin (INS) with a lower affinity. The activated IGF1R is involved in cell growth and survival control. IGF1R is crucial for tumor transformation and survival of malignant cell. Ligand binding activates the receptor kinase, leading to receptor autophosphorylation, and tyrosines phosphorylation of multiple substrates, that function as signaling adapter proteins including, the insulin-receptor substrates (IRS1/2), Shc and 14-3-3 proteins. Phosphorylation of IRSs proteins lead to the activation of two main signaling pathways: the PI3K-AKT/PKB pathway and the Ras-MAPK pathway. The result of activating the MAPK pathway is increased cellular proliferation, whereas activating the PI3K pathway inhibits apoptosis and stimulates protein synthesis. Phosphorylated IRS1 can activate the 85 kDa regulatory subunit of PI3K (PIK3R1), leading to activation of several downstream substrates, including protein AKT/PKB. AKT phosphorylation, in turn, enhances protein synthesis through mTOR activation and triggers the antiapoptotic effects of IGFIR through phosphorylation and inactivation of BAD. In parallel to PI3K- driven signaling, recruitment of Grb2/SOS by phosphorylated IRS1 or Shc leads to recruitment of Ras and activation of the ras-MAPK pathway. In addition to these two main signaling pathways IGF1R signals also through the Janus kinase/signal transducer and activator of transcription pathway (JAK/STAT). Phosphorylation of JAK proteins can lead to phosphorylation/activation of signal transducers and activators of transcription (STAT) proteins. In particular activation of STAT3, may be essential for the transforming activity of IGF1R. The JAK/STAT pathway activates gene transcription and may be responsible for the transforming activity. JNK kinases can also be activated by the IGF1R. IGF1 exerts inhibiting activities on JNK activation via phosphorylation and inhibition of MAP3K5/ASK1, which is able to directly associate with the IGF1R.; </t>
  </si>
  <si>
    <t xml:space="preserve">DISEASE: Insulin-like growth factor 1 resistance (IGF1RES) [MIM:270450]: A disorder characterized by intrauterine growth retardation, poor postnatal growth and increased plasma IGF1 levels. {ECO:0000269|PubMed:14657428, ECO:0000269|PubMed:15928254}. Note=The disease is caused by mutations affecting the gene represented in this entry.; </t>
  </si>
  <si>
    <t xml:space="preserve">1094.64</t>
  </si>
  <si>
    <t xml:space="preserve">102</t>
  </si>
  <si>
    <t xml:space="preserve">55,47</t>
  </si>
  <si>
    <t xml:space="preserve">0.737169983273076</t>
  </si>
  <si>
    <t xml:space="preserve">myocyte enhancer factor 2A</t>
  </si>
  <si>
    <t xml:space="preserve">FUNCTION: Transcriptional activator which binds specifically to the MEF2 element, 5'-YTA[AT](4)TAR-3', found in numerous muscle- specific genes. Also involved in the activation of numerous growth factor- and stress-induced genes. Mediates cellular functions not only in skeletal and cardiac muscle development, but also in neuronal differentiation and survival. Plays diverse roles in the control of cell growth, survival and apoptosis via p38 MAPK signaling in muscle-specific and/or growth factor-related transcription. In cerebellar granule neurons, phosphorylated and sumoylated MEF2A represses transcription of NUR77 promoting synaptic differentiation. Associates with chromatin to the ZNF16 promoter. {ECO:0000269|PubMed:11904443, ECO:0000269|PubMed:12691662, ECO:0000269|PubMed:15834131, ECO:0000269|PubMed:16371476, ECO:0000269|PubMed:16484498, ECO:0000269|PubMed:16563226, ECO:0000269|PubMed:21468593, ECO:0000269|PubMed:9858528}.; </t>
  </si>
  <si>
    <t xml:space="preserve">DISEASE: Coronary artery disease, autosomal dominant, 1 (ADCAD1) [MIM:608320]: A common heart disease characterized by reduced or absent blood flow in one or more of the arteries that encircle and supply the heart. Its most important complication is acute myocardial infarction. Note=The disease is caused by mutations affecting the gene represented in this entry.; </t>
  </si>
  <si>
    <t xml:space="preserve">686.64</t>
  </si>
  <si>
    <t xml:space="preserve">44</t>
  </si>
  <si>
    <t xml:space="preserve">19,25</t>
  </si>
  <si>
    <t xml:space="preserve">NM_139057:c.*2220G&gt;A;uc002bvv.1:c.*2220G&gt;A</t>
  </si>
  <si>
    <t xml:space="preserve">3.82852764002745e-11</t>
  </si>
  <si>
    <t xml:space="preserve">ADAM metallopeptidase with thrombospondin type 1 motif 17</t>
  </si>
  <si>
    <t xml:space="preserve">DISEASE: Weill-Marchesani-like syndrome (WMLS) [MIM:613195]: A disorder characterized by many of the key features of Weill- Marchesani syndrome, including lenticular myopia, ectopia lentis, glaucoma, spherophakia and short stature. However, the characteristic brachydactyly or decreased joint flexibility of Weill-Marchesani syndrome are absent. {ECO:0000269|PubMed:19836009}. Note=The disease is caused by mutations affecting the gene represented in this entry.; </t>
  </si>
  <si>
    <t xml:space="preserve">690.64</t>
  </si>
  <si>
    <t xml:space="preserve">80</t>
  </si>
  <si>
    <t xml:space="preserve">49,31</t>
  </si>
  <si>
    <t xml:space="preserve">9.13769895125714e-18</t>
  </si>
  <si>
    <t xml:space="preserve">intraflagellar transport 140</t>
  </si>
  <si>
    <t xml:space="preserve">FUNCTION: Component of the IFT complex A (IFT-A), a complex required for retrograde ciliary transport. Plays a pivotal role in proper development and function of ciliated cells. Involved in ciliogenesis and cilia maintenance. {ECO:0000269|PubMed:22503633}.; </t>
  </si>
  <si>
    <t xml:space="preserve">DISEASE: Short-rib thoracic dysplasia 9 with or without polydactyly (SRTD9) [MIM:266920]: A form of short-rib thoracic dysplasia, a group of autosomal recessive ciliopathies that are characterized by a constricted thoracic cage, short ribs, shortened tubular bones, and a 'trident' appearance of the acetabular roof. Polydactyly is variably present. Non-skeletal involvement can include cleft lip/palate as well as anomalies of major organs such as the brain, eye, heart, kidneys, liver, pancreas, intestines, and genitalia. Some forms of the disease are lethal in the neonatal period due to respiratory insufficiency secondary to a severely restricted thoracic cage, whereas others are compatible with life. Disease spectrum encompasses Ellis-van Creveld syndrome, asphyxiating thoracic dystrophy (Jeune syndrome), Mainzer-Saldino syndrome, and short rib-polydactyly syndrome. SRTD9 is characterized by phalangeal cone-shaped epiphyses, chronic renal disease, nearly constant retinal dystrophy, and mild radiographic abnormality of the proximal femur. Occasional features include short stature, cerebellar ataxia, and hepatic fibrosis. {ECO:0000269|PubMed:22503633, ECO:0000269|PubMed:23418020}. Note=The disease is caused by mutations affecting the gene represented in this entry.; </t>
  </si>
  <si>
    <t xml:space="preserve">561.64</t>
  </si>
  <si>
    <t xml:space="preserve">20,25</t>
  </si>
  <si>
    <t xml:space="preserve">2.86322915528202e-07</t>
  </si>
  <si>
    <t xml:space="preserve">N-acetylglucosamine-1-phosphodiester alpha-N-acetylglucosaminidase</t>
  </si>
  <si>
    <t xml:space="preserve">FUNCTION: Catalyzes the second step in the formation of the mannose 6-phosphate targeting signal on lysosomal enzyme oligosaccharides by removing GlcNAc residues from GlcNAc-alpha-P- mannose moieties, which are formed in the first step. Also hydrolyzes UDP-GlcNAc, a sugar donor for Golgi N- acetylglucosaminyltransferases. {ECO:0000269|PubMed:23572527}.; </t>
  </si>
  <si>
    <t xml:space="preserve">DISEASE: Note=Defects in NAGPA have been suggested to play a role in susceptibility to persistent stuttering. Stuttering is a common speech disorder characterized by repetitions, prolongations, and interruptions in the flow of speech. {ECO:0000269|PubMed:20147709}.; </t>
  </si>
  <si>
    <t xml:space="preserve">165.64</t>
  </si>
  <si>
    <t xml:space="preserve">170</t>
  </si>
  <si>
    <t xml:space="preserve">150,20</t>
  </si>
  <si>
    <t xml:space="preserve">2.23675804808239e-09</t>
  </si>
  <si>
    <t xml:space="preserve">sulfotransferase family 1A member 1</t>
  </si>
  <si>
    <t xml:space="preserve">FUNCTION: Sulfotransferase that utilizes 3'-phospho-5'-adenylyl sulfate (PAPS) as sulfonate donor to catalyze the sulfate conjugation of catecholamines, phenolic drugs and neurotransmitters. Has also estrogen sulfotransferase activity. responsible for the sulfonation and activation of minoxidil. Is Mediates the metabolic activation of carcinogenic N- hydroxyarylamines to DNA binding products and could so participate as modulating factor of cancer risk. {ECO:0000269|PubMed:12471039, ECO:0000269|PubMed:16221673}.; </t>
  </si>
  <si>
    <t xml:space="preserve">85.60</t>
  </si>
  <si>
    <t xml:space="preserve">81</t>
  </si>
  <si>
    <t xml:space="preserve">68,13</t>
  </si>
  <si>
    <t xml:space="preserve">NM_001324319:exon2:c.104-2-&gt;T;NM_001324318:exon2:c.104-2-&gt;T;NM_024745:exon2:c.104-2-&gt;T;uc002eec.4:exon2:c.104-2-&gt;T;ENST00000303383:exon2:c.104-2-&gt;T</t>
  </si>
  <si>
    <t xml:space="preserve">5.5265911035503e-06</t>
  </si>
  <si>
    <t xml:space="preserve">SHC SH2-domain binding protein 1</t>
  </si>
  <si>
    <t xml:space="preserve">FUNCTION: May play a role in signaling pathways governing cellular proliferation, cell growth and differentiation. May be a component of a novel signaling pathway downstream of Shc. Acts as a positive regulator of FGF signaling in neural progenitor cells (By similarity). {ECO:0000250}.; </t>
  </si>
  <si>
    <t xml:space="preserve">1257.64</t>
  </si>
  <si>
    <t xml:space="preserve">88</t>
  </si>
  <si>
    <t xml:space="preserve">38,50</t>
  </si>
  <si>
    <t xml:space="preserve">0.791258492355506</t>
  </si>
  <si>
    <t xml:space="preserve">matrix metallopeptidase 2</t>
  </si>
  <si>
    <t xml:space="preserve">FUNCTION: Ubiquitinous metalloproteinase that is involved in diverse functions such as remodeling of the vasculature, angiogenesis, tissue repair, tumor invasion, inflammation, and atherosclerotic plaque rupture. As well as degrading extracellular matrix proteins, can also act on several nonmatrix proteins such as big endothelial 1 and beta-type CGRP promoting vasoconstriction. Also cleaves KISS at a Gly-|-Leu bond. Appears to have a role in myocardial cell death pathways. Contributes to myocardial oxidative stress by regulating the activity of GSK3beta. Cleaves GSK3beta in vitro. Involved in the formation of the fibrovascular tissues in association with MMP14.; FUNCTION: Isoform 2: Mediates the proteolysis of CHUK/IKKA and initiates a primary innate immune response by inducing mitochondrial-nuclear stress signaling with activation of the pro- inflammatory NF-kappaB, NFAT and IRF transcriptional pathways.; </t>
  </si>
  <si>
    <t xml:space="preserve">DISEASE: Multicentric osteolysis, nodulosis, and arthropathy (MONA) [MIM:259600]: An autosomal recessive syndrome characterized by severe multicentric osteolysis with predominant involvement of the hands and feet. Additional features include coarse face, corneal opacities, patches of thickened, hyperpigmented skin, hypertrichosis and gum hypertrophy. {ECO:0000269|PubMed:11431697, ECO:0000269|PubMed:15691365, ECO:0000269|PubMed:16542393}. Note=The disease is caused by mutations affecting the gene represented in this entry.; </t>
  </si>
  <si>
    <t xml:space="preserve">2639.60</t>
  </si>
  <si>
    <t xml:space="preserve">190</t>
  </si>
  <si>
    <t xml:space="preserve">104,86</t>
  </si>
  <si>
    <t xml:space="preserve">HYDIN:NM_001270974:exon69:c.11712delT:p.Q3905Rfs*5;HYDIN:uc031qwy.1:exon69:c.11712delT:p.Q3905Rfs*5;ENSG00000157423:ENST00000393567:exon69:c.11712delT:p.Q3905Rfs*5</t>
  </si>
  <si>
    <t xml:space="preserve">HYDIN, axonemal central pair apparatus protein</t>
  </si>
  <si>
    <t xml:space="preserve">FUNCTION: Required for ciliary motility. {ECO:0000250}.; </t>
  </si>
  <si>
    <t xml:space="preserve">DISEASE: Ciliary dyskinesia, primary, 5 (CILD5) [MIM:608647]: An autosomal recessive form of primary dyskinesia, a disorder characterized by abnormalities of motile cilia. Respiratory infections leading to chronic inflammation and bronchiectasis are recurrent, due to defects in the respiratory cilia; reduced fertility is often observed in male patients due to abnormalities of sperm tails. Half of the patients exhibit randomization of left-right body asymmetry and situs inversus, due to dysfunction of monocilia at the embryonic node. Primary ciliary dyskinesia associated with situs inversus is referred to as Kartagener syndrome. CILD5 is characterized by early onset of a progressive decline in lung function due to an inability to clear mucus and particles from the airways. Affected individuals have recurrent infections of the sinuses, ears, airways, and lungs. Sperm motility is also decreased. Individuals with CILD5 do not have situs inversus. {ECO:0000269|PubMed:23022101, ECO:0000269|PubMed:25186273}. Note=The disease is caused by mutations affecting the gene represented in this entry.; </t>
  </si>
  <si>
    <t xml:space="preserve">443.64</t>
  </si>
  <si>
    <t xml:space="preserve">42</t>
  </si>
  <si>
    <t xml:space="preserve">25,17</t>
  </si>
  <si>
    <t xml:space="preserve">0.535969010144802</t>
  </si>
  <si>
    <t xml:space="preserve">piezo type mechanosensitive ion channel component 1</t>
  </si>
  <si>
    <t xml:space="preserve">FUNCTION: Pore-forming subunit of a mechanosensitive non-specific cation channel (PubMed:23479567, PubMed:23695678). Generates currents characterized by a linear current-voltage relationship that are sensitive to ruthenium red and gadolinium. Plays a key role in epithelial cell adhesion by maintaining integrin activation through R-Ras recruitment to the ER, most probably in its activated state, and subsequent stimulation of calpain signaling (PubMed:20016066). In the kidney, may contribute to the detection of intraluminal pressure changes and to urine flow sensing. Acts as shear-stress sensor that promotes endothelial cell organization and alignment in the direction of blood flow through calpain activation (PubMed:25119035). Plays a key role in blood vessel formation and vascular structure in both development and adult physiology (By similarity). {ECO:0000250|UniProtKB:E2JF22, ECO:0000269|PubMed:20016066, ECO:0000269|PubMed:23479567, ECO:0000269|PubMed:23695678, ECO:0000269|PubMed:25119035}.; </t>
  </si>
  <si>
    <t xml:space="preserve">DISEASE: Dehydrated hereditary stomatocytosis with or without pseudohyperkalemia and/or perinatal edema (DHS) [MIM:194380]: An autosomal dominant hemolytic anemia characterized by primary erythrocyte dehydration. DHS erythrocytes exhibit decreased total cation and potassium content that are not accompanied by a proportional net gain of sodium and water. DHS patients typically exhibit mild to moderate compensated hemolytic anemia, with an increased erythrocyte mean corpuscular hemoglobin concentration and a decreased osmotic fragility, both of which reflect cellular dehydration. Patients may also show perinatal edema and pseudohyperkalemia due to loss of potassium from red cells stored at room temperature. A minor proportion of red cells appear as stomatocytes on blood films. Complications such as splenomegaly and cholelithiasis, resulting from increased red cell trapping in the spleen and elevated bilirubin levels, respectively, may occur. The course of DHS is frequently associated with iron overload, which may lead to hepatosiderosis. {ECO:0000269|PubMed:22529292, ECO:0000269|PubMed:23479567, ECO:0000269|PubMed:23487776, ECO:0000269|PubMed:23581886, ECO:0000269|PubMed:23695678, ECO:0000269|PubMed:23973043}. Note=The disease is caused by mutations affecting the gene represented in this entry. All disease-causing mutations characterized so far produce a gain-of- function phenotype, mutated channels exhibiting increased cation transport in erythroid cells, that could be due to slower channel inactivation rate compared to the wild-type protein.; </t>
  </si>
  <si>
    <t xml:space="preserve">362.64</t>
  </si>
  <si>
    <t xml:space="preserve">11,14</t>
  </si>
  <si>
    <t xml:space="preserve">1.43624305354746e-05</t>
  </si>
  <si>
    <t xml:space="preserve">zinc finger MYND-type containing 15</t>
  </si>
  <si>
    <t xml:space="preserve">FUNCTION: Acts as a transcriptional repressor through interaction with histone deacetylases (HDACs). May be important for spermiogenesis. {ECO:0000250|UniProtKB:Q8C0R7, ECO:0000303|PubMed:24431330}.; </t>
  </si>
  <si>
    <t xml:space="preserve">DISEASE: Spermatogenic failure 14 (SPGF14) [MIM:615842]: A disorder resulting in the absence (azoospermia) or reduction (oligozoospermia) of sperm in the semen, leading to male infertility. {ECO:0000269|PubMed:24431330}. Note=The disease is caused by mutations affecting the gene represented in this entry.; </t>
  </si>
  <si>
    <t xml:space="preserve">495.64</t>
  </si>
  <si>
    <t xml:space="preserve">23,18</t>
  </si>
  <si>
    <t xml:space="preserve">1.76208067122363e-18</t>
  </si>
  <si>
    <t xml:space="preserve">ubiquitin specific peptidase 6</t>
  </si>
  <si>
    <t xml:space="preserve">FUNCTION: Deubiquitinase with an ATP-independent isopeptidase activity, cleaving at the C-terminus of the ubiquitin moiety. Catalyzes its own deubiquitination. In vitro, isoform 2, but not isoform 3, shows deubiquitinating activity. Promotes plasma membrane localization of ARF6 and selectively regulates ARF6- dependent endocytic protein trafficking. Is able to initiate tumorigenesis by inducing the production of matrix metalloproteinases following NF-kappa-B activation. {ECO:0000269|PubMed:15509780, ECO:0000269|PubMed:16127172, ECO:0000269|PubMed:20418905}.; </t>
  </si>
  <si>
    <t xml:space="preserve">DISEASE: Note=A chromosomal aberration involving USP6 is a common genetic feature of aneurysmal bone cyst, a benign osseous neoplasm. Translocation t(16;17)(q22;p13) with CDH11. The translocation generates a fusion gene in which the strong CDH11 promoter is fused to the entire USP6 coding sequence, resulting in USP6 transcriptional up-regulation (PubMed:15026324). {ECO:0000269|PubMed:15026324}.; </t>
  </si>
  <si>
    <t xml:space="preserve">299.64</t>
  </si>
  <si>
    <t xml:space="preserve">27</t>
  </si>
  <si>
    <t xml:space="preserve">15,12</t>
  </si>
  <si>
    <t xml:space="preserve">0.000188842387449784;0.0176163047684809</t>
  </si>
  <si>
    <t xml:space="preserve">sex hormone-binding globulin;spermidine/spermine N1-acetyltransferase family member 2</t>
  </si>
  <si>
    <t xml:space="preserve">FUNCTION: Enzyme which catalyzes the acetylation of polyamines. Substrate specificity: norspermidine &gt; spermidine = spermine &gt;&gt; N(1)acetylspermine = putrescine.; ;FUNCTION: Functions as an androgen transport protein, but may also be involved in receptor mediated processes. Each dimer binds one molecule of steroid. Specific for 5-alpha-dihydrotestosterone, testosterone, and 17-beta-estradiol. Regulates the plasma metabolic clearance rate of steroid hormones by controlling their plasma concentration.; </t>
  </si>
  <si>
    <t xml:space="preserve">849.64</t>
  </si>
  <si>
    <t xml:space="preserve">54,35</t>
  </si>
  <si>
    <t xml:space="preserve">0.0289055801710133</t>
  </si>
  <si>
    <t xml:space="preserve">transmembrane protein 107</t>
  </si>
  <si>
    <t xml:space="preserve">FUNCTION: Plays a role in cilia formation and embryonic patterning. Requires for normal Sonic hedgehog (Shh) signaling in the neural tube and acts in combination with GLI2 and GLI3 to pattern ventral and intermediate neuronal cell types (By similarity). {ECO:0000250}.; </t>
  </si>
  <si>
    <t xml:space="preserve">66.64</t>
  </si>
  <si>
    <t xml:space="preserve">59,6</t>
  </si>
  <si>
    <t xml:space="preserve">0.999999999256818</t>
  </si>
  <si>
    <t xml:space="preserve">nuclear receptor corepressor 1</t>
  </si>
  <si>
    <t xml:space="preserve">FUNCTION: Mediates transcriptional repression by certain nuclear receptors. Part of a complex which promotes histone deacetylation and the formation of repressive chromatin structures which may impede the access of basal transcription factors. Participates in the transcriptional repressor activity produced by BCL6. {ECO:0000269|PubMed:14527417}.; </t>
  </si>
  <si>
    <t xml:space="preserve">1529.64</t>
  </si>
  <si>
    <t xml:space="preserve">55,62</t>
  </si>
  <si>
    <t xml:space="preserve">NM_178860:exon12:c.2494+1G&gt;A;NM_001290202:exon12:c.2119+1G&gt;A;NM_001098635:exon12:c.2494+1G&gt;A;uc002hdp.2:exon12:c.2494+1G&gt;A;uc010cry.1:exon12:c.2494+1G&gt;A;uc002hdq.1:exon12:c.2119+1G&gt;A;ENST00000360295:exon12:c.2494+1G&gt;A;ENST00000317338:exon12:c.2494+1G&gt;A;ENST00000540632:exon11:c.2272+1G&gt;A;ENST00000540419:exon11:c.1937+1G&gt;A;ENST00000540419:exon11:UTR3;ENST00000442608:exon12:c.2494+1G&gt;A</t>
  </si>
  <si>
    <t xml:space="preserve">1.39340908360683e-05</t>
  </si>
  <si>
    <t xml:space="preserve">seizure related 6 homolog (mouse)</t>
  </si>
  <si>
    <t xml:space="preserve">FUNCTION: May play a role in cell-cell recognition and in neuronal membrane signaling. Seems to be important for the achievement of the necessary balance between dendrite elongation and branching during the elaboration of a complex dendritic arbor. Involved in the development of appropriate excitatory synaptic connectivity (By similarity). {ECO:0000250}.; </t>
  </si>
  <si>
    <t xml:space="preserve">124.60</t>
  </si>
  <si>
    <t xml:space="preserve">17</t>
  </si>
  <si>
    <t xml:space="preserve">6,11</t>
  </si>
  <si>
    <t xml:space="preserve">NM_001369519:c.*2459delT;NM_001369513:c.*2365delT;NM_001369516:c.*2365delT;NM_001369518:c.*2459delT;NM_001369517:c.*2459delT;NM_001369512:c.*2365delT;NM_213662:c.*2459delT;NM_003150:c.*2365delT;NM_001369514:c.*2365delT;NM_001369520:c.*2459delT;NM_139276:c.*2365delT;ENST00000264657:c.*2365delT</t>
  </si>
  <si>
    <t xml:space="preserve">0.999989193151158</t>
  </si>
  <si>
    <t xml:space="preserve">signal transducer and activator of transcription 3 (acute-phase response factor)</t>
  </si>
  <si>
    <t xml:space="preserve">FUNCTION: Signal transducer and transcription activator that mediates cellular responses to interleukins, KITLG/SCF, LEP and other growth factors. Once activated, recruits coactivators, such as NCOA1 or MED1, to the promoter region of the target gene (PubMed:17344214). May mediate cellular responses to activated FGFR1, FGFR2, FGFR3 and FGFR4. Binds to the interleukin-6 (IL-6)- responsive elements identified in the promoters of various acute- phase protein genes. Activated by IL31 through IL31RA. Involved in cell cycle regulation by inducing the expression of key genes for the progression from G1 to S phase, such as CCND1 (PubMed:17344214). Mediates the effects of LEP on melanocortin production, body energy homeostasis and lactation (By similarity). May play an apoptotic role by transctivating BIRC5 expression under LEP activation (PubMed:18242580). Cytoplasmic STAT3 represses macroautophagy by inhibiting EIF2AK2/PKR activity. {ECO:0000250|UniProtKB:P42227, ECO:0000269|PubMed:10688651, ECO:0000269|PubMed:12359225, ECO:0000269|PubMed:12873986, ECO:0000269|PubMed:15194700, ECO:0000269|PubMed:17344214, ECO:0000269|PubMed:18242580, ECO:0000269|PubMed:23084476}.; </t>
  </si>
  <si>
    <t xml:space="preserve">DISEASE: Hyperimmunoglobulin E recurrent infection syndrome, autosomal dominant (AD-HIES) [MIM:147060]: A rare disorder of immunity and connective tissue characterized by immunodeficiency, chronic eczema, recurrent Staphylococcal infections, increased serum IgE, eosinophilia, distinctive coarse facial appearance, abnormal dentition, hyperextensibility of the joints, and bone fractures. {ECO:0000269|PubMed:17676033, ECO:0000269|PubMed:17881745, ECO:0000269|PubMed:23342295}. Note=The disease is caused by mutations affecting the gene represented in this entry.; DISEASE: Autoimmune disease, multisystem, infantile-onset (ADMIO) [MIM:615952]: A disorder characterized by early childhood onset of a spectrum of autoimmune manifestations affecting multiple organs, including insulin-dependent diabetes mellitus and autoimmune enteropathy or celiac disease. Other features include short stature, non-specific dermatitis, hypothyroidism, autoimmune arthritis, and delayed puberty. {ECO:0000269|PubMed:25038750}. Note=The disease is caused by mutations affecting the gene represented in this entry.; </t>
  </si>
  <si>
    <t xml:space="preserve">221.60</t>
  </si>
  <si>
    <t xml:space="preserve">18</t>
  </si>
  <si>
    <t xml:space="preserve">11,7</t>
  </si>
  <si>
    <t xml:space="preserve">3.71896087830709e-05</t>
  </si>
  <si>
    <t xml:space="preserve">pyridoxamine 5'-phosphate oxidase</t>
  </si>
  <si>
    <t xml:space="preserve">FUNCTION: Catalyzes the oxidation of either pyridoxine 5'- phosphate (PNP) or pyridoxamine 5'-phosphate (PMP) into pyridoxal 5'-phosphate (PLP). {ECO:0000269|PubMed:12824491}.; </t>
  </si>
  <si>
    <t xml:space="preserve">DISEASE: Pyridoxine-5'-phosphate oxidase deficiency (PNPO deficiency) [MIM:610090]: The main feature of neonatal epileptic encephalopathy is the onset within hours of birth of a severe seizure disorder that does not respond to anticonvulsant drugs and can be fatal. Seizures can cease with the administration of PLP, being resistant to treatment with pyridoxine,. {ECO:0000269|PubMed:15772097}. Note=The disease is caused by mutations affecting the gene represented in this entry.; </t>
  </si>
  <si>
    <t xml:space="preserve">692.64</t>
  </si>
  <si>
    <t xml:space="preserve">68</t>
  </si>
  <si>
    <t xml:space="preserve">41,27</t>
  </si>
  <si>
    <t xml:space="preserve">0.999999999944093</t>
  </si>
  <si>
    <t xml:space="preserve">mediator complex subunit 13</t>
  </si>
  <si>
    <t xml:space="preserve">FUNCTION: Component of the Mediator complex, a coactivator involved in the regulated transcription of nearly all RNA polymerase II-dependent genes. Mediator functions as a bridge to convey information from gene-specific regulatory proteins to the basal RNA polymerase II transcription machinery. Mediator is recruited to promoters by direct interactions with regulatory proteins and serves as a scaffold for the assembly of a functional preinitiation complex with RNA polymerase II and the general transcription factors. {ECO:0000269|PubMed:16595664}.; </t>
  </si>
  <si>
    <t xml:space="preserve">60.64</t>
  </si>
  <si>
    <t xml:space="preserve">5,3</t>
  </si>
  <si>
    <t xml:space="preserve">4.63282874453648e-18</t>
  </si>
  <si>
    <t xml:space="preserve">angiotensin I converting enzyme</t>
  </si>
  <si>
    <t xml:space="preserve">FUNCTION: Converts angiotensin I to angiotensin II by release of the terminal His-Leu, this results in an increase of the vasoconstrictor activity of angiotensin. Also able to inactivate bradykinin, a potent vasodilator. Has also a glycosidase activity which releases GPI-anchored proteins from the membrane by cleaving the mannose linkage in the GPI moiety.; </t>
  </si>
  <si>
    <t xml:space="preserve">DISEASE: Ischemic stroke (ISCHSTR) [MIM:601367]: A stroke is an acute neurologic event leading to death of neural tissue of the brain and resulting in loss of motor, sensory and/or cognitive function. Ischemic strokes, resulting from vascular occlusion, is considered to be a highly complex disease consisting of a group of heterogeneous disorders with multiple genetic and environmental risk factors. {ECO:0000269|PubMed:15534175}. Note=Disease susceptibility is associated with variations affecting the gene represented in this entry.; DISEASE: Renal tubular dysgenesis (RTD) [MIM:267430]: Autosomal recessive severe disorder of renal tubular development characterized by persistent fetal anuria and perinatal death, probably due to pulmonary hypoplasia from early-onset oligohydramnios (the Potter phenotype). {ECO:0000269|PubMed:16116425}. Note=The disease is caused by mutations affecting the gene represented in this entry.; DISEASE: Microvascular complications of diabetes 3 (MVCD3) [MIM:612624]: Pathological conditions that develop in numerous tissues and organs as a consequence of diabetes mellitus. They include diabetic retinopathy, diabetic nephropathy leading to end- stage renal disease, and diabetic neuropathy. Diabetic retinopathy remains the major cause of new-onset blindness among diabetic adults. It is characterized by vascular permeability and increased tissue ischemia and angiogenesis. {ECO:0000269|PubMed:10099885}. Note=Disease susceptibility is associated with variations affecting the gene represented in this entry.; DISEASE: Intracerebral hemorrhage (ICH) [MIM:614519]: A pathological condition characterized by bleeding into one or both cerebral hemispheres including the basal ganglia and the cerebral cortex. It is often associated with hypertension and craniocerebral trauma. Intracerebral bleeding is a common cause of stroke. {ECO:0000269|PubMed:15277638}. Note=Disease susceptibility is associated with variations affecting the gene represented in this entry.; </t>
  </si>
  <si>
    <t xml:space="preserve">157.64</t>
  </si>
  <si>
    <t xml:space="preserve">0.952135908118796</t>
  </si>
  <si>
    <t xml:space="preserve">protein kinase C alpha</t>
  </si>
  <si>
    <t xml:space="preserve">FUNCTION: Calcium-activated, phospholipid- and diacylglycerol (DAG)-dependent serine/threonine-protein kinase that is involved in positive and negative regulation of cell proliferation, apoptosis, differentiation, migration and adhesion, tumorigenesis, cardiac hypertrophy, angiogenesis, platelet function and inflammation, by directly phosphorylating targets such as RAF1, BCL2, CSPG4, TNNT2/CTNT, or activating signaling cascade involving MAPK1/3 (ERK1/2) and RAP1GAP. Involved in cell proliferation and cell growth arrest by positive and negative regulation of the cell cycle. Can promote cell growth by phosphorylating and activating RAF1, which mediates the activation of the MAPK/ERK signaling cascade, and/or by up-regulating CDKN1A, which facilitates active cyclin-dependent kinase (CDK) complex formation in glioma cells. In intestinal cells stimulated by the phorbol ester PMA, can trigger a cell cycle arrest program which is associated with the accumulation of the hyper-phosphorylated growth-suppressive form of RB1 and induction of the CDK inhibitors CDKN1A and CDKN1B. Exhibits anti-apoptotic function in glioma cells and protects them from apoptosis by suppressing the p53/TP53-mediated activation of IGFBP3, and in leukemia cells mediates anti-apoptotic action by phosphorylating BCL2. During macrophage differentiation induced by macrophage colony-stimulating factor (CSF1), is translocated to the nucleus and is associated with macrophage development. After wounding, translocates from focal contacts to lamellipodia and participates in the modulation of desmosomal adhesion. Plays a role in cell motility by phosphorylating CSPG4, which induces association of CSPG4 with extensive lamellipodia at the cell periphery and polarization of the cell accompanied by increases in cell motility. Is highly expressed in a number of cancer cells where it can act as a tumor promoter and is implicated in malignant phenotypes of several tumors such as gliomas and breast cancers. Negatively regulates myocardial contractility and positively regulates angiogenesis, platelet aggregation and thrombus formation in arteries. Mediates hypertrophic growth of neonatal cardiomyocytes, in part through a MAPK1/3 (ERK1/2)- dependent signaling pathway, and upon PMA treatment, is required to induce cardiomyocyte hypertrophy up to heart failure and death, by increasing protein synthesis, protein-DNA ratio and cell surface area. Regulates cardiomyocyte function by phosphorylating cardiac troponin T (TNNT2/CTNT), which induces significant reduction in actomyosin ATPase activity, myofilament calcium sensitivity and myocardial contractility. In angiogenesis, is required for full endothelial cell migration, adhesion to vitronectin (VTN), and vascular endothelial growth factor A (VEGFA)-dependent regulation of kinase activation and vascular tube formation. Involved in the stabilization of VEGFA mRNA at post-transcriptional level and mediates VEGFA-induced cell proliferation. In the regulation of calcium-induced platelet aggregation, mediates signals from the CD36/GP4 receptor for granule release, and activates the integrin heterodimer ITGA2B- ITGB3 through the RAP1GAP pathway for adhesion. During response to lipopolysaccharides (LPS), may regulate selective LPS-induced macrophage functions involved in host defense and inflammation. But in some inflammatory responses, may negatively regulate NF- kappa-B-induced genes, through IL1A-dependent induction of NF- kappa-B inhibitor alpha (NFKBIA/IKBA). Upon stimulation with 12-O- tetradecanoylphorbol-13-acetate (TPA), phosphorylates EIF4G1, which modulates EIF4G1 binding to MKNK1 and may be involved in the regulation of EIF4E phosphorylation. Phosphorylates KIT, leading to inhibition of KIT activity. Phosphorylates ATF2 which promotes cooperation between ATF2 and JUN, activating transcription. {ECO:0000269|PubMed:10848585, ECO:0000269|PubMed:11909826, ECO:0000269|PubMed:12724315, ECO:0000269|PubMed:12832403, ECO:0000269|PubMed:15016832, ECO:0000269|PubMed:15504744, ECO:0000269|PubMed:15526160, ECO:0000269|PubMed:18056764, ECO:0000269|PubMed:19176525, ECO:0000269|PubMed:21576361, ECO:0000269|PubMed:23990668, ECO:0000269|PubMed:9738012, ECO:0000269|PubMed:9830023, ECO:0000269|PubMed:9873035, ECO:0000269|PubMed:9927633}.; </t>
  </si>
  <si>
    <t xml:space="preserve">300.64</t>
  </si>
  <si>
    <t xml:space="preserve">16</t>
  </si>
  <si>
    <t xml:space="preserve">7,9</t>
  </si>
  <si>
    <t xml:space="preserve">2.63627612154765e-13</t>
  </si>
  <si>
    <t xml:space="preserve">coiled-coil domain containing 57</t>
  </si>
  <si>
    <t xml:space="preserve">799.02</t>
  </si>
  <si>
    <t xml:space="preserve">30</t>
  </si>
  <si>
    <t xml:space="preserve">0,19,11</t>
  </si>
  <si>
    <t xml:space="preserve">0.673512974845848</t>
  </si>
  <si>
    <t xml:space="preserve">lipin 2</t>
  </si>
  <si>
    <t xml:space="preserve">FUNCTION: Plays important roles in controlling the metabolism of fatty acids at differents levels. Acts as a magnesium-dependent phosphatidate phosphatase enzyme which catalyzes the conversion of phosphatidic acid to diacylglycerol during triglyceride, phosphatidylcholine and phosphatidylethanolamine biosynthesis in the reticulum endoplasmic membrane. Acts also as a nuclear transcriptional coactivator for PPARGC1A to modulate lipid metabolism (By similarity). {ECO:0000250}.; </t>
  </si>
  <si>
    <t xml:space="preserve">DISEASE: Majeed syndrome (MAJEEDS) [MIM:609628]: An autosomal recessive syndrome characterized by chronic recurrent multifocal osteomyelitis that is of early onset with a lifelong course, congenital dyserythropoietic anemia that presents as hypochromic, microcytic anemia during the first year of life and ranges from mild to transfusion-dependent, and transient inflammatory dermatosis, often manifesting as Sweet syndrome (neutrophilic skin infiltration). {ECO:0000269|PubMed:15994876}. Note=The disease is caused by mutations affecting the gene represented in this entry.; </t>
  </si>
  <si>
    <t xml:space="preserve">CAGCTC</t>
  </si>
  <si>
    <t xml:space="preserve">1544.60</t>
  </si>
  <si>
    <t xml:space="preserve">98</t>
  </si>
  <si>
    <t xml:space="preserve">57,41</t>
  </si>
  <si>
    <t xml:space="preserve">1.39176131837658e-24</t>
  </si>
  <si>
    <t xml:space="preserve">laminin subunit alpha 1</t>
  </si>
  <si>
    <t xml:space="preserve">FUNCTION: Binding to cells via a high affinity receptor, laminin is thought to mediate the attachment, migration and organization of cells into tissues during embryonic development by interacting with other extracellular matrix components.; </t>
  </si>
  <si>
    <t xml:space="preserve">DISEASE: Poretti-Boltshauser syndrome (PTBHS) [MIM:615960]: An autosomal recessive disorder characterized by cerebellar dysplasia, cerebellar vermis atrophy, cerebellar cysts in most patients, high myopia, variable retinal dystrophy, and eye movement abnormalities including strabismus, ocular apraxia, nystagmus. Affected individuals have ataxia, delayed motor development, language impairment, and intellectual disability with variable severity. {ECO:0000269|PubMed:25105227}. Note=The disease is caused by mutations affecting the gene represented in this entry.; </t>
  </si>
  <si>
    <t xml:space="preserve">CCCCA</t>
  </si>
  <si>
    <t xml:space="preserve">588.02</t>
  </si>
  <si>
    <t xml:space="preserve">0,9,7</t>
  </si>
  <si>
    <t xml:space="preserve">SOGA2:uc010dkw.1:exon2:c.1429_1430insCCCCA:p.A478Pfs*33</t>
  </si>
  <si>
    <t xml:space="preserve">microtubule crosslinking factor 1</t>
  </si>
  <si>
    <t xml:space="preserve">FUNCTION: Microtubule-associated factor involved in the late phase of epithelial polarization and microtubule dynamics regulation. Plays a role in the development and maintenance of non-centrosomal microtubule bundles at the lateral membrane in polarized epithelial cells. {ECO:0000269|PubMed:23902687}.; </t>
  </si>
  <si>
    <t xml:space="preserve">290.64</t>
  </si>
  <si>
    <t xml:space="preserve">16,11</t>
  </si>
  <si>
    <t xml:space="preserve">0.0809328060183284</t>
  </si>
  <si>
    <t xml:space="preserve">RNA (guanine-7-) methyltransferase</t>
  </si>
  <si>
    <t xml:space="preserve">FUNCTION: mRNA-capping methyltransferase that methylates the N7 position of the added guanosine to the 5'-cap structure of mRNAs. Binds RNA containing 5'-terminal GpppC. {ECO:0000269|PubMed:10347220, ECO:0000269|PubMed:22099306, ECO:0000269|PubMed:9705270, ECO:0000269|PubMed:9790902}.; </t>
  </si>
  <si>
    <t xml:space="preserve">259.64</t>
  </si>
  <si>
    <t xml:space="preserve">1.00071804997675e-44</t>
  </si>
  <si>
    <t xml:space="preserve">mindbomb E3 ubiquitin protein ligase 1</t>
  </si>
  <si>
    <t xml:space="preserve">FUNCTION: E3 ubiquitin-protein ligase that mediates ubiquitination of Delta receptors, which act as ligands of Notch proteins. Positively regulates the Delta-mediated Notch signaling by ubiquitinating the intracellular domain of Delta, leading to endocytosis of Delta receptors. Probably mediates ubiquitination and subsequent proteasomal degradation of DAPK1, thereby antagonizing anti-apoptotic effects of DAPK1 to promote TNF- induced apoptosis (By similarity). Involved in ubiquitination of centriolar satellite CEP131, CEP290 and PCM1 proteins and hence inhibits primary cilium formation in proliferating cells. Mediates 'Lys-63'-linked polyubiquitination of TBK1, which probably participates in kinase activation. {ECO:0000250, ECO:0000269|PubMed:24121310}.; </t>
  </si>
  <si>
    <t xml:space="preserve">DISEASE: Left ventricular non-compaction 7 (LVNC7) [MIM:615092]: A disease due to an arrest of myocardial morphogenesis. It is characterized by a hypertrophic left ventricle with deep trabeculations and with poor systolic function, with or without associated left ventricular dilation. In some cases, it is associated with other congenital heart anomalies. {ECO:0000269|PubMed:23314057}. Note=The disease is caused by mutations affecting the gene represented in this entry.; </t>
  </si>
  <si>
    <t xml:space="preserve">ATT</t>
  </si>
  <si>
    <t xml:space="preserve">230.60</t>
  </si>
  <si>
    <t xml:space="preserve">99</t>
  </si>
  <si>
    <t xml:space="preserve">86,13</t>
  </si>
  <si>
    <t xml:space="preserve">uc002ldz.3:c.*253_*254insAAT;uc002lea.2:c.*253_*254insAAT;uc002leb.2:c.*253_*254insAAT</t>
  </si>
  <si>
    <t xml:space="preserve">5;5</t>
  </si>
  <si>
    <t xml:space="preserve">5.4231747689238e-10</t>
  </si>
  <si>
    <t xml:space="preserve">myosin VB;small nucleolar RNA host gene 22</t>
  </si>
  <si>
    <t xml:space="preserve">FUNCTION: May be involved in vesicular trafficking via its association with the CART complex. The CART complex is necessary for efficient transferrin receptor recycling but not for EGFR degradation. Required in a complex with RAB11A and RAB11FIP2 for the transport of NPC1L1 to the plasma membrane. Together with RAB11A participates in CFTR trafficking to the plasma membrane and TF (transferrin) recycling in nonpolarized cells. Together with RAB11A and RAB8A participates in epithelial cell polarization. Together with RAB25 regulates transcytosis. {ECO:0000269|PubMed:21206382, ECO:0000269|PubMed:21282656}.; </t>
  </si>
  <si>
    <t xml:space="preserve">DISEASE: Diarrhea 2, with microvillus atrophy (DIAR2) [MIM:251850]: A disease characterized by onset of intractable life-threatening watery diarrhea during infancy. Two forms are recognized: early-onset microvillus inclusion disease with diarrhea beginning in the neonatal period, and late-onset, with first symptoms appearing after 3 or 4 months of life. {ECO:0000269|PubMed:18724368, ECO:0000269|PubMed:19006234, ECO:0000269|PubMed:20186687, ECO:0000269|PubMed:21206382, ECO:0000269|PubMed:24138727, ECO:0000269|PubMed:24892806}. Note=The disease is caused by mutations affecting the gene represented in this entry.; </t>
  </si>
  <si>
    <t xml:space="preserve">382.64</t>
  </si>
  <si>
    <t xml:space="preserve">91,18</t>
  </si>
  <si>
    <t xml:space="preserve">uc002ldz.3:c.*242C&gt;A;uc002lea.2:c.*242C&gt;A;uc002leb.2:c.*242C&gt;A</t>
  </si>
  <si>
    <t xml:space="preserve">757.64</t>
  </si>
  <si>
    <t xml:space="preserve">174</t>
  </si>
  <si>
    <t xml:space="preserve">143,31</t>
  </si>
  <si>
    <t xml:space="preserve">uc002ldz.3:c.*56T&gt;G;uc002lea.2:c.*56T&gt;G;uc002leb.2:c.*56T&gt;G</t>
  </si>
  <si>
    <t xml:space="preserve">546.64</t>
  </si>
  <si>
    <t xml:space="preserve">12,23</t>
  </si>
  <si>
    <t xml:space="preserve">17,15</t>
  </si>
  <si>
    <t xml:space="preserve">UTR5;ncRNA_exonic</t>
  </si>
  <si>
    <t xml:space="preserve">uc002ldz.3:c.-187G&gt;A</t>
  </si>
  <si>
    <t xml:space="preserve">304.64</t>
  </si>
  <si>
    <t xml:space="preserve">13,10</t>
  </si>
  <si>
    <t xml:space="preserve">3.6650370597666e-07</t>
  </si>
  <si>
    <t xml:space="preserve">ATPase phospholipid transporting 8B1</t>
  </si>
  <si>
    <t xml:space="preserve">FUNCTION: Catalytic component of a P4-ATPase flippase complex which catalyzes the hydrolysis of ATP coupled to the transport of aminophospholipids from the outer to the inner leaflet of various membranes and ensures the maintenance of asymmetric distribution of phospholipids. Phospholipid translocation seems also to be implicated in vesicle formation and in uptake of lipid signaling molecules. May play a role in asymmetric distribution of phospholipids in the canicular membrane. May have a role in transport of bile acids into the canaliculus, uptake of bile acids from intestinal contents into intestinal mucosa or both. In cooperation with ABCB4 may be involved in establishing integrity of the canalicular membrane thus protecting hepatocytes from bile salts. Together with TMEM30A is involved in uptake of the synthetic drug alkylphospholipid perifosine. Involved in the microvillus formation in polarized epithelial cells; the function seems to be independent from its flippase activity. Required for the preservation of cochlear hair cells in the inner ear. May act as cardiolipin transporter during inflammatory injury. {ECO:0000269|PubMed:17948906, ECO:0000269|PubMed:20510206, ECO:0000269|PubMed:20512993}.; </t>
  </si>
  <si>
    <t xml:space="preserve">DISEASE: Cholestasis, benign recurrent intrahepatic, 1 (BRIC1) [MIM:243300]: A disorder characterized by intermittent episodes of cholestasis without progression to liver failure. There is initial elevation of serum bile acids, followed by cholestatic jaundice which generally spontaneously resolves after periods of weeks to months. The cholestatic attacks vary in severity and duration. Patients are asymptomatic between episodes, both clinically and biochemically. {ECO:0000269|PubMed:15239083, ECO:0000269|PubMed:9500542, ECO:0000269|PubMed:9918928}. Note=The disease is caused by mutations affecting the gene represented in this entry.; DISEASE: Cholestasis of pregnancy, intrahepatic 1 (ICP1) [MIM:147480]: A liver disorder of pregnancy. It presents during the second or, more commonly, the third trimester of pregnancy with intense pruritus which becomes more severe with advancing gestation and cholestasis. Cholestasis results from abnormal biliary transport from the liver into the small intestine. ICP1 causes fetal distress, spontaneous premature delivery and intrauterine death. ICP1 patients have spontaneous and progressive disappearance of cholestasis after delivery. {ECO:0000269|PubMed:15657619, ECO:0000269|PubMed:15888793}. Note=The disease may be caused by mutations affecting the gene represented in this entry.; </t>
  </si>
  <si>
    <t xml:space="preserve">237.64</t>
  </si>
  <si>
    <t xml:space="preserve">12,8</t>
  </si>
  <si>
    <t xml:space="preserve">0.994144577983795</t>
  </si>
  <si>
    <t xml:space="preserve">MALT1 paracaspase</t>
  </si>
  <si>
    <t xml:space="preserve">FUNCTION: Enhances BCL10-induced activation of NF-kappa-B. Involved in nuclear export of BCL10. Binds to TRAF6, inducing TRAF6 oligomerization and activation of its ligase activity. Has ubiquitin ligase activity. MALT1-dependent BCL10 cleavage plays an important role in T-cell antigen receptor-induced integrin adhesion. {ECO:0000269|PubMed:11262391, ECO:0000269|PubMed:14695475, ECO:0000269|PubMed:18264101}.; </t>
  </si>
  <si>
    <t xml:space="preserve">DISEASE: Note=A chromosomal aberration involving MALT1 is recurrent in low-grade mucosa-associated lymphoid tissue (MALT lymphoma). Translocation t(11;18)(q21;q21) with BIRC2. This translocation is found in approximately 50% of cytogenetically abnormal low-grade MALT lymphoma. {ECO:0000269|PubMed:10339464, ECO:0000269|PubMed:10523859, ECO:0000269|PubMed:10702396, ECO:0000269|PubMed:11090634}.; </t>
  </si>
  <si>
    <t xml:space="preserve">GGCTGCGGGGTCTCCC</t>
  </si>
  <si>
    <t xml:space="preserve">460.60</t>
  </si>
  <si>
    <t xml:space="preserve">39,14</t>
  </si>
  <si>
    <t xml:space="preserve">UTR3;exonic</t>
  </si>
  <si>
    <t xml:space="preserve">MEX3D:NM_001174118:exon3:c.1967_1968insGGGAGACCCCGCAGCC:p.G658Dfs*33;uc010dsn.3:c.*198_*199insGGGAGACCCCGCAGCC;ENSG00000181588:ENST00000388824:exon3:c.1967_1968insGGGAGACCCCGCAGCC:p.G658Dfs*33,ENSG00000181588:ENST00000605173:exon3:c.1439_1440insGGGAGACCCCGCAGCC:p.G482Dfs*33</t>
  </si>
  <si>
    <t xml:space="preserve">mex-3 RNA binding family member D</t>
  </si>
  <si>
    <t xml:space="preserve">FUNCTION: RNA binding protein, may be involved in post- transcriptional regulatory mechanisms. {ECO:0000250}.; </t>
  </si>
  <si>
    <t xml:space="preserve">1156.64</t>
  </si>
  <si>
    <t xml:space="preserve">96</t>
  </si>
  <si>
    <t xml:space="preserve">50,46</t>
  </si>
  <si>
    <t xml:space="preserve">myeloid-derived growth factor</t>
  </si>
  <si>
    <t xml:space="preserve">FUNCTION: Bone marrow-derived monocyte and paracrine-acting protein that promotes cardiac myocyte survival and adaptive angiogenesis for cardiac protection and/or repair after myocardial infarction (MI). Stimulates endothelial cell proliferation through a MAPK1/3-, STAT3- and CCND1-mediated signaling pathway. Inhibits cardiac myocyte apoptosis in a PI3K/AKT-dependent signaling pathway (By similarity). Involved in endothelial cell proliferation and angiogenesis (PubMed:25581518). {ECO:0000250|UniProtKB:Q9CPT4, ECO:0000269|PubMed:25581518}.; </t>
  </si>
  <si>
    <t xml:space="preserve">1255.64</t>
  </si>
  <si>
    <t xml:space="preserve">86</t>
  </si>
  <si>
    <t xml:space="preserve">34,52</t>
  </si>
  <si>
    <t xml:space="preserve">PGLYRP2:NM_001363546:exon4:c.C1864T:p.Q622X;PGLYRP2:uc002nbg.3:exon4:c.C1864T:p.Q622X;ENSG00000161031:ENST00000292609:exon4:c.C1864T:p.Q622X</t>
  </si>
  <si>
    <t xml:space="preserve">1.33294125207149e-08</t>
  </si>
  <si>
    <t xml:space="preserve">peptidoglycan recognition protein 2</t>
  </si>
  <si>
    <t xml:space="preserve">FUNCTION: May play a scavenger role by digesting biologically active peptidoglycan (PGN) into biologically inactive fragments. Has no direct bacteriolytic activity. {ECO:0000269|PubMed:14506276}.; </t>
  </si>
  <si>
    <t xml:space="preserve">252.64</t>
  </si>
  <si>
    <t xml:space="preserve">2,8</t>
  </si>
  <si>
    <t xml:space="preserve">ncRNA_intronic;upstream</t>
  </si>
  <si>
    <t xml:space="preserve">dist=184;dist=184</t>
  </si>
  <si>
    <t xml:space="preserve">128.63</t>
  </si>
  <si>
    <t xml:space="preserve">0.999998877096737</t>
  </si>
  <si>
    <t xml:space="preserve">myosin IXB</t>
  </si>
  <si>
    <t xml:space="preserve">FUNCTION: Myosins are actin-based motor molecules with ATPase activity. Unconventional myosins serve in intracellular movements. May be involved in the remodeling of the actin cytoskeleton. Binds actin with high affinity both in the absence and presence of ATP and its mechanochemical activity is inhibited by calcium ions. Also acts as a GTPase activating protein on Rho.; </t>
  </si>
  <si>
    <t xml:space="preserve">19</t>
  </si>
  <si>
    <t xml:space="preserve">14,5</t>
  </si>
  <si>
    <t xml:space="preserve">0.885285923722225</t>
  </si>
  <si>
    <t xml:space="preserve">zinc finger protein 507</t>
  </si>
  <si>
    <t xml:space="preserve">FUNCTION: May be involved in transcriptional regulation.; </t>
  </si>
  <si>
    <t xml:space="preserve">88.64</t>
  </si>
  <si>
    <t xml:space="preserve">17,7</t>
  </si>
  <si>
    <t xml:space="preserve">7.78948328153526e-16</t>
  </si>
  <si>
    <t xml:space="preserve">ankyrin repeat domain 27</t>
  </si>
  <si>
    <t xml:space="preserve">FUNCTION: May be a guanine exchange factor (GEF) for Rab21, Rab32 and Rab38 and regulate endosome dynamics (PubMed:16525121, PubMed:18477474). May regulate the participation of VAMP7 in membrane fusion events; in vitro inhibits VAMP7-mediated SNARE complex formation by trapping VAMP7 in a closed, fusogenically inactive conformation (PubMed:23104059). Involved in peripheral melanosomal distribution of TYRP1 in melanocytes; the function, which probably is implicating vesicle-trafficking, includes cooperation with Rab32, Rab38 and VAMP7 (By similarity). Involved in the regulation of neurite growth; the function seems to require its GEF activity, probably towards Rab21, and VAMP7 but not Rab32/38 (By similarity). Proposed to be involved in Golgi sorting of VAMP7 and transport of VAMP7 vesicles to the cell surface; the function seems to implicate kinesin heavy chain isoform 5 proteins, GOLGA4, RAB21 and MACF1 (PubMed:22705394). Required for the colocalization of VAMP7 and Rab21, probably on TGN sites (PubMed:19745841). Involved in GLUT1 endosome-to-plasma membrane trafficking; the function is dependent of association with VPS29 (PubMed:24856514). {ECO:0000250|UniProtKB:Q3UMR0, ECO:0000269|PubMed:23104059, ECO:0000269|PubMed:24856514, ECO:0000305|PubMed:16525121, ECO:0000305|PubMed:18477474, ECO:0000305|PubMed:22705394}.; </t>
  </si>
  <si>
    <t xml:space="preserve">1260.64</t>
  </si>
  <si>
    <t xml:space="preserve">49,53</t>
  </si>
  <si>
    <t xml:space="preserve">Fc fragment of IgG binding protein</t>
  </si>
  <si>
    <t xml:space="preserve">FUNCTION: May be involved in the maintenance of the mucosal structure as a gel-like component of the mucosa. {ECO:0000269|PubMed:9182547}.; </t>
  </si>
  <si>
    <t xml:space="preserve">33.64</t>
  </si>
  <si>
    <t xml:space="preserve">43</t>
  </si>
  <si>
    <t xml:space="preserve">38,5</t>
  </si>
  <si>
    <t xml:space="preserve">3.01470348763618e-10</t>
  </si>
  <si>
    <t xml:space="preserve">cytochrome P450 family 2 subfamily A member 7</t>
  </si>
  <si>
    <t xml:space="preserve">FUNCTION: Cytochromes P450 are a group of heme-thiolate monooxygenases. In liver microsomes, this enzyme is involved in an NADPH-dependent electron transport pathway. It oxidizes a variety of structurally unrelated compounds, including steroids, fatty acids, and xenobiotics.; </t>
  </si>
  <si>
    <t xml:space="preserve">CAGCAGCAGCAGCAGCAGCAG</t>
  </si>
  <si>
    <t xml:space="preserve">476.02</t>
  </si>
  <si>
    <t xml:space="preserve">0,6,6</t>
  </si>
  <si>
    <t xml:space="preserve">uc021uwb.1:c.*270_*250delCTGCTGCTGCTGCTGCTGCTG;uc010xxs.1:c.*270_*250delCTGCTGCTGCTGCTGCTGCTG;uc002pdd.1:c.*277_*257delCTGCTGCTGCTGCTGCTGCTG;uc002pde.1:c.*270_*250delCTGCTGCTGCTGCTGCTGCTG;uc002pdg.1:c.*270_*250delCTGCTGCTGCTGCTGCTGCTG;uc002pdf.1:c.*277_*257delCTGCTGCTGCTGCTGCTGCTG;uc002pdh.1:c.*277_*257delCTGCTGCTGCTGCTGCTGCTG;uc002pdi.1:c.*277_*257delCTGCTGCTGCTGCTGCTGCTG;uc010xxt.1:c.*422_*402delCTGCTGCTGCTGCTGCTGCTG</t>
  </si>
  <si>
    <t xml:space="preserve">0.0330811788641306</t>
  </si>
  <si>
    <t xml:space="preserve">dystrophia myotonica protein kinase</t>
  </si>
  <si>
    <t xml:space="preserve">FUNCTION: Non-receptor serine/threonine protein kinase which is necessary for the maintenance of skeletal muscle structure and function. May play a role in myocyte differentiation and survival by regulating the integrity of the nuclear envelope and the expression of muscle-specific genes. May also phosphorylate PPP1R12A and inhibit the myosin phosphatase activity to regulate myosin phosphorylation. Also critical to the modulation of cardiac contractility and to the maintenance of proper cardiac conduction activity probably through the regulation of cellular calcium homeostasis. Phosphorylates PLN, a regulator of calcium pumps and may regulate sarcoplasmic reticulum calcium uptake in myocytes. May also phosphorylate FXYD1/PLM which is able to induce chloride currents. May also play a role in synaptic plasticity. {ECO:0000269|PubMed:10811636, ECO:0000269|PubMed:10913253, ECO:0000269|PubMed:11287000, ECO:0000269|PubMed:15598648, ECO:0000269|PubMed:21457715, ECO:0000269|PubMed:21949239}.; </t>
  </si>
  <si>
    <t xml:space="preserve">DISEASE: Dystrophia myotonica 1 (DM1) [MIM:160900]: A muscular disorder characterized by myotonia, muscle wasting in the distal extremities, cataract, hypogonadism, defective endocrine functions, male baldness and cardiac arrhythmias. {ECO:0000269|PubMed:1302022, ECO:0000269|PubMed:1310900, ECO:0000269|PubMed:1546326, ECO:0000269|PubMed:19514047}. Note=The disease is caused by mutations affecting the gene represented in this entry. The causative mutation is a CTG expansion in the 3'- UTR of the DMPK gene. A length exceeding 50 CTG repeats is pathogenic, while normal individuals have 5 to 37 repeats. Intermediate alleles with 35-49 triplets are not disease-causing but show instability in intergenerational transmissions. Disease severity varies with the number of repeats: mildly affected persons have 50 to 150 repeats, patients with classic DM have 100 to 1,000 repeats, and those with congenital onset can have more than 2,000 repeats. {ECO:0000269|PubMed:1310900, ECO:0000269|PubMed:19514047}.; </t>
  </si>
  <si>
    <t xml:space="preserve">46.60</t>
  </si>
  <si>
    <t xml:space="preserve">139</t>
  </si>
  <si>
    <t xml:space="preserve">121,18</t>
  </si>
  <si>
    <t xml:space="preserve">TAF1B:NM_005680:exon3:c.187dupA:p.N66Kfs*4;TAF1B:uc002qzy.4:exon3:c.187dupA:p.N66Kfs*4,TAF1B:uc002qzz.3:exon3:c.187dupA:p.N66Kfs*4,TAF1B:uc010exc.2:exon3:c.187dupA:p.N66Kfs*4;ENSG00000115750:ENST00000263663:exon3:c.187dupA:p.N66Kfs*4,ENSG00000115750:ENST00000434858:exon3:c.187dupA:p.N66Kfs*4</t>
  </si>
  <si>
    <t xml:space="preserve">4.28699121753238e-06</t>
  </si>
  <si>
    <t xml:space="preserve">TATA-box binding protein associated factor, RNA polymerase I subunit B</t>
  </si>
  <si>
    <t xml:space="preserve">FUNCTION: Component of RNA polymerase I core factor complex that acts as a GTF2B/TFIIB-like factor and plays a key role in multiple steps during trancription initiation such as preinitiation complex (PIC) assembly and postpolymerase recruitment events in polymerase I (Pol I) transcription. Binds rDNA promoters and plays a role in Pol I recruitment as a component of the SL1/TIF-IB complex and, possibly, directly through its interaction with RRN3. {ECO:0000269|PubMed:15970593, ECO:0000269|PubMed:21921198, ECO:0000269|PubMed:21921199, ECO:0000269|PubMed:7491500, ECO:0000269|PubMed:7801123, ECO:0000269|PubMed:7801130}.; </t>
  </si>
  <si>
    <t xml:space="preserve">106.64</t>
  </si>
  <si>
    <t xml:space="preserve">0.999077342831501</t>
  </si>
  <si>
    <t xml:space="preserve">nuclear receptor coactivator 1</t>
  </si>
  <si>
    <t xml:space="preserve">FUNCTION: Nuclear receptor coactivator that directly binds nuclear receptors and stimulates the transcriptional activities in a hormone-dependent fashion. Involved in the coactivation of different nuclear receptors, such as for steroids (PGR, GR and ER), retinoids (RXRs), thyroid hormone (TRs) and prostanoids (PPARs). Also involved in coactivation mediated by STAT3, STAT5A, STAT5B and STAT6 transcription factors. Displays histone acetyltransferase activity toward H3 and H4; the relevance of such activity remains however unclear. Plays a central role in creating multisubunit coactivator complexes that act via remodeling of chromatin, and possibly acts by participating in both chromatin remodeling and recruitment of general transcription factors. Required with NCOA2 to control energy balance between white and brown adipose tissues. Required for mediating steroid hormone response. Isoform 2 has a higher thyroid hormone-dependent transactivation activity than isoform 1 and isoform 3. {ECO:0000269|PubMed:10449719, ECO:0000269|PubMed:12954634, ECO:0000269|PubMed:7481822, ECO:0000269|PubMed:9223281, ECO:0000269|PubMed:9223431, ECO:0000269|PubMed:9296499, ECO:0000269|PubMed:9427757}.; </t>
  </si>
  <si>
    <t xml:space="preserve">DISEASE: Note=A chromosomal aberration involving NCOA1 is a cause of rhabdomyosarcoma. Translocation t(2;2)(q35;p23) with PAX3 generates the NCOA1-PAX3 oncogene consisting of the N-terminus part of PAX3 and the C-terminus part of NCOA1. The fusion protein acts as a transcriptional activator. Rhabdomyosarcoma is the most common soft tissue carcinoma in childhood, representing 5-8% of all malignancies in children. {ECO:0000269|PubMed:15313887}.; </t>
  </si>
  <si>
    <t xml:space="preserve">181.02</t>
  </si>
  <si>
    <t xml:space="preserve">8,12,13</t>
  </si>
  <si>
    <t xml:space="preserve">PLEKHH2:uc002rte.3:exon14:c.2311delT:p.F778Lfs*18</t>
  </si>
  <si>
    <t xml:space="preserve">1.78874098604568e-26</t>
  </si>
  <si>
    <t xml:space="preserve">pleckstrin homology, MyTH4 and FERM domain containing H2</t>
  </si>
  <si>
    <t xml:space="preserve">FUNCTION: In the kidney glomerulus may play a role in linking podocyte foot processes to the glomerular basement membrane. May be involved in stabilization of F-actin by attenuating its depolymerization. Can recruit TGFB1I1 from focal adhesions to podocyte lamellipodia.; </t>
  </si>
  <si>
    <t xml:space="preserve">PLEKHH2:uc002rte.3:exon14:c.2311dupT:p.V779Cfs*13</t>
  </si>
  <si>
    <t xml:space="preserve">9,9</t>
  </si>
  <si>
    <t xml:space="preserve">0.671633264361772;0.867725630709854</t>
  </si>
  <si>
    <t xml:space="preserve">mutS homolog 2;potassium two pore domain channel subfamily K member 12</t>
  </si>
  <si>
    <t xml:space="preserve">FUNCTION: Component of the post-replicative DNA mismatch repair system (MMR). Forms two different heterodimers: MutS alpha (MSH2- MSH6 heterodimer) and MutS beta (MSH2-MSH3 heterodimer) which binds to DNA mismatches thereby initiating DNA repair. When bound, heterodimers bend the DNA helix and shields approximately 20 base pairs. MutS alpha recognizes single base mismatches and dinucleotide insertion-deletion loops (IDL) in the DNA. MutS beta recognizes larger insertion-deletion loops up to 13 nucleotides long. After mismatch binding, MutS alpha or beta forms a ternary complex with the MutL alpha heterodimer, which is thought to be responsible for directing the downstream MMR events, including strand discrimination, excision, and resynthesis. ATP binding and hydrolysis play a pivotal role in mismatch repair functions. The ATPase activity associated with MutS alpha regulates binding similar to a molecular switch: mismatched DNA provokes ADP--&gt;ATP exchange, resulting in a discernible conformational transition that converts MutS alpha into a sliding clamp capable of hydrolysis-independent diffusion along the DNA backbone. This transition is crucial for mismatch repair. MutS alpha may also play a role in DNA homologous recombination repair. In melanocytes may modulate both UV-B-induced cell cycle regulation and apoptosis. {ECO:0000269|PubMed:10078208, ECO:0000269|PubMed:10660545, ECO:0000269|PubMed:15064730, ECO:0000269|PubMed:17611581, ECO:0000269|PubMed:9564049, ECO:0000269|PubMed:9822679, ECO:0000269|PubMed:9822680}.; ;FUNCTION: Probable potassium channel subunit. No channel activity observed in heterologous systems. May need to associate with another protein to form a functional channel (By similarity). {ECO:0000250}.; </t>
  </si>
  <si>
    <t xml:space="preserve">DISEASE: Hereditary non-polyposis colorectal cancer 1 (HNPCC1) [MIM:120435]: An autosomal dominant disease associated with marked increase in cancer susceptibility. It is characterized by a familial predisposition to early-onset colorectal carcinoma (CRC) and extra-colonic tumors of the gastrointestinal, urological and female reproductive tracts. HNPCC is reported to be the most common form of inherited colorectal cancer in the Western world. Clinically, HNPCC is often divided into two subgroups. Type I is characterized by hereditary predisposition to colorectal cancer, a young age of onset, and carcinoma observed in the proximal colon. Type II is characterized by increased risk for cancers in certain tissues such as the uterus, ovary, breast, stomach, small intestine, skin, and larynx in addition to the colon. Diagnosis of classical HNPCC is based on the Amsterdam criteria: 3 or more relatives affected by colorectal cancer, one a first degree relative of the other two; 2 or more generation affected; 1 or more colorectal cancers presenting before 50 years of age; exclusion of hereditary polyposis syndromes. The term 'suspected HNPCC' or 'incomplete HNPCC' can be used to describe families who do not or only partially fulfill the Amsterdam criteria, but in whom a genetic basis for colon cancer is strongly suspected. {ECO:0000269|PubMed:10375096, ECO:0000269|PubMed:10386556, ECO:0000269|PubMed:10528862, ECO:0000269|PubMed:10573010, ECO:0000269|PubMed:10612836, ECO:0000269|PubMed:10777691, ECO:0000269|PubMed:10829038, ECO:0000269|PubMed:11726306, ECO:0000269|PubMed:11870161, ECO:0000269|PubMed:11920458, ECO:0000269|PubMed:12112654, ECO:0000269|PubMed:12124176, ECO:0000269|PubMed:12132870, ECO:0000269|PubMed:12200596, ECO:0000269|PubMed:12362047, ECO:0000269|PubMed:12373605, ECO:0000269|PubMed:12655564, ECO:0000269|PubMed:12655568, ECO:0000269|PubMed:12658575, ECO:0000269|PubMed:14635101, ECO:0000269|PubMed:15046096, ECO:0000269|PubMed:15300854, ECO:0000269|PubMed:15342696, ECO:0000269|PubMed:15365995, ECO:0000269|PubMed:15613555, ECO:0000269|PubMed:15870828, ECO:0000269|PubMed:15896463, ECO:0000269|PubMed:15991316, ECO:0000269|PubMed:15996210, ECO:0000269|PubMed:16451135, ECO:0000269|PubMed:17101317, ECO:0000269|PubMed:17128465, ECO:0000269|PubMed:18561205, ECO:0000269|PubMed:18625694, ECO:0000269|PubMed:22371642, ECO:0000269|PubMed:7874129, ECO:0000269|PubMed:8261515, ECO:0000269|PubMed:8700523, ECO:0000269|PubMed:8872463, ECO:0000269|PubMed:9048925, ECO:0000269|PubMed:9240418, ECO:0000269|PubMed:9298827, ECO:0000269|PubMed:9311737, ECO:0000269|PubMed:9419403, ECO:0000269|PubMed:9559627, ECO:0000269|PubMed:9718327}. Note=The disease is caused by mutations affecting the gene represented in this entry.; DISEASE: Muir-Torre syndrome (MRTES) [MIM:158320]: Rare autosomal dominant disorder characterized by sebaceous neoplasms and visceral malignancy. {ECO:0000269|PubMed:7713503}. Note=The disease is caused by mutations affecting the gene represented in this entry.; DISEASE: Endometrial cancer (ENDMC) [MIM:608089]: A malignancy of endometrium, the mucous lining of the uterus. Most endometrial cancers are adenocarcinomas, cancers that begin in cells that make and release mucus and other fluids. {ECO:0000305|PubMed:11306449, ECO:0000305|PubMed:21642682}. Note=Disease susceptibility is associated with variations affecting the gene represented in this entry.; </t>
  </si>
  <si>
    <t xml:space="preserve">1386.64</t>
  </si>
  <si>
    <t xml:space="preserve">49,59</t>
  </si>
  <si>
    <t xml:space="preserve">0.000860167631538041</t>
  </si>
  <si>
    <t xml:space="preserve">chromosome 2 open reading frame 73</t>
  </si>
  <si>
    <t xml:space="preserve">1024.64</t>
  </si>
  <si>
    <t xml:space="preserve">41,40</t>
  </si>
  <si>
    <t xml:space="preserve">0.999184050209255</t>
  </si>
  <si>
    <t xml:space="preserve">chaperonin containing TCP1 subunit 4</t>
  </si>
  <si>
    <t xml:space="preserve">FUNCTION: Molecular chaperone; assists the folding of proteins upon ATP hydrolysis. As part of the BBS/CCT complex may play a role in the assembly of BBSome, a complex involved in ciliogenesis regulating transports vesicles to the cilia. Known to play a role, in vitro, in the folding of actin and tubulin. {ECO:0000269|PubMed:20080638}.; </t>
  </si>
  <si>
    <t xml:space="preserve">208.64</t>
  </si>
  <si>
    <t xml:space="preserve">13,7</t>
  </si>
  <si>
    <t xml:space="preserve">9.6231886938057e-06</t>
  </si>
  <si>
    <t xml:space="preserve">germ cell-less, spermatogenesis associated 1</t>
  </si>
  <si>
    <t xml:space="preserve">FUNCTION: Possible function in spermatogenesis. Enhances the degradation of MDM2 and increases the amount of p53 probably by modulating the nucleocytoplasmic transport (By similarity). {ECO:0000250}.; </t>
  </si>
  <si>
    <t xml:space="preserve">64.60</t>
  </si>
  <si>
    <t xml:space="preserve">39,8</t>
  </si>
  <si>
    <t xml:space="preserve">NM_001351524:exon4:UTR5;NM_001351525:exon4:UTR5;NM_001351508:exon4:c.223-2-&gt;T;NM_001351510:exon4:c.223-2-&gt;T;NM_001351509:exon4:c.229-2-&gt;T;NM_001351517:exon4:UTR5;NM_022037:exon4:c.223-2-&gt;T;NM_001351515:exon4:UTR5;NM_001351514:exon3:c.28-2-&gt;T;NM_022173:exon4:c.223-2-&gt;T;NM_001351513:exon4:c.112-2-&gt;T;NM_001351512:exon4:c.118-2-&gt;T;NM_001351511:exon4:c.112-2-&gt;T;NM_001351516:exon4:c.223-2-&gt;T;NM_001351518:exon4:c.223-2-&gt;T;NM_001351520:exon4:c.229-2-&gt;T;NM_001351521:exon4:c.223-2-&gt;T;NM_001351523:exon3:c.28-2-&gt;T;NM_001351522:exon4:c.223-2-&gt;T;NM_001351519:exon4:c.223-2-&gt;T;uc002sgj.4:exon4:c.223-2-&gt;T;uc002sgk.4:exon4:c.223-2-&gt;T;uc002sgm.3:exon4:c.223-2-&gt;T;uc010yqt.2:exon4:c.223-2-&gt;T;ENST00000415783:exon4:c.223-2-&gt;T;ENST00000433529:exon4:c.223-2-&gt;T;ENST00000282574:exon4:c.223-2-&gt;T;ENST00000445587:exon4:c.223-2-&gt;T;ENST00000416149:exon4:c.223-2-&gt;T;ENST00000474809:exon4:c.223-2-&gt;T;ENST00000477044:exon4:c.223-2-&gt;T;ENST00000361692:exon3:c.197-2-&gt;T</t>
  </si>
  <si>
    <t xml:space="preserve">0.832581092063394</t>
  </si>
  <si>
    <t xml:space="preserve">TIA1 cytotoxic granule-associated RNA binding protein</t>
  </si>
  <si>
    <t xml:space="preserve">FUNCTION: Involved in alternative pre-RNA splicing and regulation of mRNA translation by binding to AU-rich elements (AREs) located in mRNA 3' untranslated regions (3' UTRs). Possesses nucleolytic activity against cytotoxic lymphocyte target cells. May be involved in apoptosis.; </t>
  </si>
  <si>
    <t xml:space="preserve">DISEASE: Welander distal myopathy (WDM) [MIM:604454]: An autosomal dominant disorder characterized by adult onset of distal muscle weakness predominantly affecting the distal long extensors of the hands, with slow progression to involve all small hand muscles and the lower legs. Skeletal muscle biopsy shows myopathic changes and prominent rimmed vacuoles. Rare homozygous patients showed earlier onset, faster progression, and proximal muscle involvement. {ECO:0000269|PubMed:23348830, ECO:0000269|PubMed:23401021}. Note=The disease is caused by mutations affecting the gene represented in this entry.; </t>
  </si>
  <si>
    <t xml:space="preserve">115.64</t>
  </si>
  <si>
    <t xml:space="preserve">1.00255104624413e-15</t>
  </si>
  <si>
    <t xml:space="preserve">dysferlin</t>
  </si>
  <si>
    <t xml:space="preserve">FUNCTION: Key calcium ion sensor involved in the Ca(2+)-triggered synaptic vesicle-plasma membrane fusion. Plays a role in the sarcolemma repair mechanism of both skeletal muscle and cardiomyocytes that permits rapid resealing of membranes disrupted by mechanical stress (By similarity). {ECO:0000250}.; </t>
  </si>
  <si>
    <t xml:space="preserve">DISEASE: Limb-girdle muscular dystrophy 2B (LGMD2B) [MIM:253601]: An autosomal recessive degenerative myopathy characterized by weakness and atrophy starting in the proximal pelvifemoral muscles, with onset in the late teens or later, massive elevation of serum creatine kinase levels and slow progression. Scapular muscle involvement is minor and not present at onset. Upper limb girdle involvement follows some years after the onset in lower limbs. {ECO:0000269|PubMed:10196377, ECO:0000269|PubMed:11134403, ECO:0000269|PubMed:14678801, ECO:0000269|PubMed:15469449, ECO:0000269|PubMed:16010686, ECO:0000269|PubMed:16100712, ECO:0000269|PubMed:16705711, ECO:0000269|PubMed:16996541, ECO:0000269|PubMed:17287450, ECO:0000269|PubMed:18306167, ECO:0000269|PubMed:18853459, ECO:0000269|PubMed:9731526}. Note=The disease is caused by mutations affecting the gene represented in this entry.; DISEASE: Miyoshi muscular dystrophy 1 (MMD1) [MIM:254130]: A late- onset muscular dystrophy involving the distal lower limb musculature. It is characterized by weakness that initially affects the gastrocnemius muscle during early adulthood. {ECO:0000269|PubMed:10196377, ECO:0000269|PubMed:11134403, ECO:0000269|PubMed:11468312, ECO:0000269|PubMed:12796534, ECO:0000269|PubMed:15116377, ECO:0000269|PubMed:15469449, ECO:0000269|PubMed:15477515, ECO:0000269|PubMed:15515206, ECO:0000269|PubMed:16010686, ECO:0000269|PubMed:16100712, ECO:0000269|PubMed:17287450, ECO:0000269|PubMed:18306167, ECO:0000269|PubMed:18853459, ECO:0000269|PubMed:9731526, ECO:0000269|Ref.26}. Note=The disease is caused by mutations affecting the gene represented in this entry.; DISEASE: Distal myopathy with anterior tibial onset (DMAT) [MIM:606768]: Onset of the disorder is between 14 and 28 years of age and the anterior tibial muscles are the first muscle group to be involved. Inheritance is autosomal recessive. {ECO:0000269|PubMed:11198284}. Note=The disease is caused by mutations affecting the gene represented in this entry.; </t>
  </si>
  <si>
    <t xml:space="preserve">4095.64</t>
  </si>
  <si>
    <t xml:space="preserve">359</t>
  </si>
  <si>
    <t xml:space="preserve">197,162</t>
  </si>
  <si>
    <t xml:space="preserve">intronic;ncRNA_exonic;ncRNA_intronic;splicing</t>
  </si>
  <si>
    <t xml:space="preserve">ENST00000575193:exon12:c.903-1G&gt;A</t>
  </si>
  <si>
    <t xml:space="preserve">ankyrin repeat domain 36B pseudogene 2</t>
  </si>
  <si>
    <t xml:space="preserve">TCGT</t>
  </si>
  <si>
    <t xml:space="preserve">384.60</t>
  </si>
  <si>
    <t xml:space="preserve">ANKRD36C:NM_001310154:exon85:c.6141_6144del:p.K2047Nfs*18;dist=26830;dist=2194;ENSG00000174501:ENST00000420871:exon55:c.2796_2799del:p.K932Nfs*18,ENSG00000174501:ENST00000419039:exon56:c.2124_2127del:p.K708Nfs*18,ENSG00000174501:ENST00000456556:exon64:c.5043_5046del:p.K1681Nfs*18</t>
  </si>
  <si>
    <t xml:space="preserve">TTTT</t>
  </si>
  <si>
    <t xml:space="preserve">2977.60</t>
  </si>
  <si>
    <t xml:space="preserve">669</t>
  </si>
  <si>
    <t xml:space="preserve">557,112</t>
  </si>
  <si>
    <t xml:space="preserve">ANKRD36C:NM_001310154:exon84:c.5859_5862del:p.K1953Nfs*35;dist=508;ENSG00000174501:ENST00000420871:exon54:c.2514_2517del:p.K838Nfs*35,ENSG00000174501:ENST00000419039:exon55:c.1842_1845del:p.K614Nfs*35,ENSG00000174501:ENST00000456556:exon63:c.4761_4764del:p.K1587Nfs*35</t>
  </si>
  <si>
    <t xml:space="preserve">911.60</t>
  </si>
  <si>
    <t xml:space="preserve">786</t>
  </si>
  <si>
    <t xml:space="preserve">691,95</t>
  </si>
  <si>
    <t xml:space="preserve">ANKRD36C:NM_001310154:exon84:c.5658dupT:p.E1887*;dist=308;ENSG00000174501:ENST00000420871:exon54:c.2313dupT:p.E772*,ENSG00000174501:ENST00000419039:exon55:c.1641dupT:p.E548*,ENSG00000174501:ENST00000456556:exon63:c.4560dupT:p.E1521*</t>
  </si>
  <si>
    <t xml:space="preserve">AG</t>
  </si>
  <si>
    <t xml:space="preserve">352.60</t>
  </si>
  <si>
    <t xml:space="preserve">808</t>
  </si>
  <si>
    <t xml:space="preserve">729,79</t>
  </si>
  <si>
    <t xml:space="preserve">ANKRD36C:NM_001310154:exon84:c.5642_5643insCT:p.Q1882Cfs*24;dist=292;ENSG00000174501:ENST00000420871:exon54:c.2297_2298insCT:p.Q767Cfs*24,ENSG00000174501:ENST00000419039:exon55:c.1625_1626insCT:p.Q543Cfs*24,ENSG00000174501:ENST00000456556:exon63:c.4544_4545insCT:p.Q1516Cfs*24</t>
  </si>
  <si>
    <t xml:space="preserve">7498.60</t>
  </si>
  <si>
    <t xml:space="preserve">719</t>
  </si>
  <si>
    <t xml:space="preserve">388,331</t>
  </si>
  <si>
    <t xml:space="preserve">ANKRD36C:NM_001310154:exon84:c.5629dupC:p.L1877Pfs*9;dist=279;ENSG00000174501:ENST00000420871:exon54:c.2284dupC:p.L762Pfs*9,ENSG00000174501:ENST00000419039:exon55:c.1612dupC:p.L538Pfs*9,ENSG00000174501:ENST00000456556:exon63:c.4531dupC:p.L1511Pfs*9</t>
  </si>
  <si>
    <t xml:space="preserve">14905.60</t>
  </si>
  <si>
    <t xml:space="preserve">640</t>
  </si>
  <si>
    <t xml:space="preserve">203,437</t>
  </si>
  <si>
    <t xml:space="preserve">ANKRD36C:NM_001310154:exon84:c.5627_5628insA:p.L1877Sfs*9;dist=277;ENSG00000174501:ENST00000420871:exon54:c.2282_2283insA:p.L762Sfs*9,ENSG00000174501:ENST00000419039:exon55:c.1610_1611insA:p.L538Sfs*9,ENSG00000174501:ENST00000456556:exon63:c.4529_4530insA:p.L1511Sfs*9</t>
  </si>
  <si>
    <t xml:space="preserve">TG</t>
  </si>
  <si>
    <t xml:space="preserve">17018.60</t>
  </si>
  <si>
    <t xml:space="preserve">656</t>
  </si>
  <si>
    <t xml:space="preserve">200,456</t>
  </si>
  <si>
    <t xml:space="preserve">ANKRD36C:NM_001310154:exon84:c.5623_5624del:p.H1875Cfs*10;dist=272;ENSG00000174501:ENST00000420871:exon54:c.2278_2279del:p.H760Cfs*10,ENSG00000174501:ENST00000419039:exon55:c.1606_1607del:p.H536Cfs*10,ENSG00000174501:ENST00000456556:exon63:c.4525_4526del:p.H1509Cfs*10</t>
  </si>
  <si>
    <t xml:space="preserve">AC</t>
  </si>
  <si>
    <t xml:space="preserve">1574.60</t>
  </si>
  <si>
    <t xml:space="preserve">757</t>
  </si>
  <si>
    <t xml:space="preserve">657,100</t>
  </si>
  <si>
    <t xml:space="preserve">ANKRD36C:NM_001310154:exon84:c.5619_5620insGT:p.S1874Vfs*5;dist=269;ENSG00000174501:ENST00000420871:exon54:c.2274_2275insGT:p.S759Vfs*5,ENSG00000174501:ENST00000419039:exon55:c.1602_1603insGT:p.S535Vfs*5,ENSG00000174501:ENST00000456556:exon63:c.4521_4522insGT:p.S1508Vfs*5</t>
  </si>
  <si>
    <t xml:space="preserve">61,14</t>
  </si>
  <si>
    <t xml:space="preserve">intronic;splicing</t>
  </si>
  <si>
    <t xml:space="preserve">ENST00000441435:exon4:c.310-1-&gt;T</t>
  </si>
  <si>
    <t xml:space="preserve">5.26132710714781e-07</t>
  </si>
  <si>
    <t xml:space="preserve">TBC1 domain family member 8</t>
  </si>
  <si>
    <t xml:space="preserve">162.60</t>
  </si>
  <si>
    <t xml:space="preserve">26</t>
  </si>
  <si>
    <t xml:space="preserve">19,7</t>
  </si>
  <si>
    <t xml:space="preserve">0.90212384293593</t>
  </si>
  <si>
    <t xml:space="preserve">PAX8 antisense RNA 1;paired box 8</t>
  </si>
  <si>
    <t xml:space="preserve">FUNCTION: Transcription factor for the thyroid-specific expression of the genes exclusively expressed in the thyroid cell type, maintaining the functional differentiation of such cells.; </t>
  </si>
  <si>
    <t xml:space="preserve">DISEASE: Hypothyroidism, congenital, non-goitrous, 2 (CHNG2) [MIM:218700]: A disease characterized by thyroid dysgenesis, the most frequent cause of congenital hypothyroidism, accounting for 85% of case. The thyroid gland can be completely absent (athyreosis), ectopically located and/or severely hypoplastic. Ectopic thyroid gland is the most frequent malformation, with thyroid tissue being found most often at the base of the tongue. {ECO:0000269|PubMed:11232006, ECO:0000269|PubMed:11502839, ECO:0000269|PubMed:9590296}. Note=The disease is caused by mutations affecting the gene represented in this entry.; </t>
  </si>
  <si>
    <t xml:space="preserve">445.64</t>
  </si>
  <si>
    <t xml:space="preserve">33,14</t>
  </si>
  <si>
    <t xml:space="preserve">ankyrin repeat domain 30B-like</t>
  </si>
  <si>
    <t xml:space="preserve">383.64</t>
  </si>
  <si>
    <t xml:space="preserve">9,14</t>
  </si>
  <si>
    <t xml:space="preserve">0.000100774785789542</t>
  </si>
  <si>
    <t xml:space="preserve">glycerol-3-phosphate dehydrogenase 2</t>
  </si>
  <si>
    <t xml:space="preserve">90.60</t>
  </si>
  <si>
    <t xml:space="preserve">11,6</t>
  </si>
  <si>
    <t xml:space="preserve">1;2</t>
  </si>
  <si>
    <t xml:space="preserve">0.999999999535395</t>
  </si>
  <si>
    <t xml:space="preserve">sodium voltage-gated channel alpha subunit 1</t>
  </si>
  <si>
    <t xml:space="preserve">FUNCTION: Mediates the voltage-dependent sodium ion permeability of excitable membranes. Assuming opened or closed conformations in response to the voltage difference across the membrane, the protein forms a sodium-selective channel through which Na(+) ions may pass in accordance with their electrochemical gradient.; </t>
  </si>
  <si>
    <t xml:space="preserve">DISEASE: Generalized epilepsy with febrile seizures plus 2 (GEFS+2) [MIM:604403]: A rare autosomal dominant, familial condition with incomplete penetrance and large intrafamilial variability. Patients display febrile seizures persisting sometimes beyond the age of 6 years and/or a variety of afebrile seizure types. This disease combines febrile seizures, generalized seizures often precipitated by fever at age 6 years or more, and partial seizures, with a variable degree of severity. {ECO:0000269|PubMed:10742094, ECO:0000269|PubMed:11254444, ECO:0000269|PubMed:11254445, ECO:0000269|PubMed:11524484, ECO:0000269|PubMed:11756608, ECO:0000269|PubMed:12535936, ECO:0000269|PubMed:12576172, ECO:0000269|PubMed:12919402, ECO:0000269|PubMed:14672992, ECO:0000269|PubMed:15525788, ECO:0000269|PubMed:15694566, ECO:0000269|PubMed:15715999, ECO:0000269|PubMed:16525050, ECO:0000269|PubMed:17347258, ECO:0000269|PubMed:17507202, ECO:0000269|PubMed:17561957, ECO:0000269|PubMed:17927801, ECO:0000269|PubMed:18251839, ECO:0000269|PubMed:18413471, ECO:0000269|PubMed:18566737, ECO:0000269|PubMed:19339291, ECO:0000269|PubMed:19464195, ECO:0000269|PubMed:19522081, ECO:0000269|PubMed:20117752, ECO:0000269|PubMed:20550552, ECO:0000269|PubMed:20600615, ECO:0000269|PubMed:20729507, ECO:0000269|PubMed:21248271, ECO:0000269|PubMed:21864321}. Note=The disease is caused by mutations affecting the gene represented in this entry.; DISEASE: Epileptic encephalopathy, early infantile, 6 (EIEE6) [MIM:607208]: A severe form of epileptic encephalopathy characterized by generalized tonic, clonic, and tonic-clonic seizures that are initially induced by fever and begin during the first year of life. Later, patients also manifest other seizure types, including absence, myoclonic, and simple and complex partial seizures. Psychomotor development delay is observed around the second year of life. Some patients manifest a borderline disease phenotype and do not necessarily fulfill all diagnostic criteria for core EIEE6. EIEE6 is considered to be the most severe phenotype within the spectrum of generalized epilepsies with febrile seizures-plus. {ECO:0000269|PubMed:11359211, ECO:0000269|PubMed:12083760, ECO:0000269|PubMed:12566275, ECO:0000269|PubMed:12754708, ECO:0000269|PubMed:12821740, ECO:0000269|PubMed:14504318, ECO:0000269|PubMed:14738421, ECO:0000269|PubMed:15087100, ECO:0000269|PubMed:15944908, ECO:0000269|PubMed:16122630, ECO:0000269|PubMed:16458823, ECO:0000269|PubMed:16713920, ECO:0000269|PubMed:17054684, ECO:0000269|PubMed:17054685, ECO:0000269|PubMed:17129991, ECO:0000269|PubMed:17347258, ECO:0000269|PubMed:17561957, ECO:0000269|PubMed:18413471, ECO:0000269|PubMed:18639757, ECO:0000269|PubMed:18930999, ECO:0000269|PubMed:19522081, ECO:0000269|PubMed:19563458, ECO:0000269|PubMed:19589774, ECO:0000269|PubMed:19783390, ECO:0000269|PubMed:20110217, ECO:0000269|PubMed:20431604, ECO:0000269|PubMed:20452746, ECO:0000269|PubMed:20522430, ECO:0000269|PubMed:20729507, ECO:0000269|PubMed:21248271, ECO:0000269|PubMed:21864321, ECO:0000269|PubMed:22092154, ECO:0000269|PubMed:22612257, ECO:0000269|PubMed:23195492}. Note=The disease is caused by mutations affecting the gene represented in this entry.; DISEASE: Intractable childhood epilepsy with generalized tonic- clonic seizures (ICEGTC) [MIM:607208]: A disorder characterized by generalized tonic-clonic seizures beginning usually in infancy and induced by fever. Seizures are associated with subsequent mental decline, as well as ataxia or hypotonia. ICEGTC is similar to SMEI, except for the absence of myoclonic seizures. {ECO:0000269|PubMed:12566275, ECO:0000269|PubMed:16210358, ECO:0000269|PubMed:17507202, ECO:0000269|PubMed:23195492}. Note=The disease is caused by mutations affecting the gene represented in this entry.; DISEASE: Migraine, familial hemiplegic, 3 (FHM3) [MIM:609634]: A subtype of migraine associated with transient blindness in some families. Migraine is a disabling symptom complex of periodic headaches, usually temporal and unilateral. Headaches are often accompanied by irritability, nausea, vomiting and photophobia, preceded by constriction of the cranial arteries. The two major subtypes are common migraine (migraine without aura) and classic migraine (migraine with aura). Classic migraine is characterized by recurrent attacks of reversible neurological symptoms (aura) that precede or accompany the headache. Aura may include a combination of sensory disturbances, such as blurred vision, hallucinations, vertigo, numbness and difficulty in concentrating and speaking. {ECO:0000269|PubMed:16054936, ECO:0000269|PubMed:17397047, ECO:0000269|PubMed:18021921, ECO:0000269|PubMed:19332696}. Note=The disease is caused by mutations affecting the gene represented in this entry.; DISEASE: Febrile seizures, familial, 3A (FEB3A) [MIM:604403]: Seizures associated with febrile episodes in childhood without any evidence of intracranial infection or defined pathologic or traumatic cause. It is a common condition, affecting 2-5% of children aged 3 months to 5 years. The majority are simple febrile seizures (generally defined as generalized onset, single seizures with a duration of less than 30 minutes). Complex febrile seizures are characterized by focal onset, duration greater than 30 minutes, and/or more than one seizure in a 24 hour period. The likelihood of developing epilepsy following simple febrile seizures is low. Complex febrile seizures are associated with a moderately increased incidence of epilepsy. {ECO:0000269|PubMed:16326807, ECO:0000269|PubMed:19522081}. Note=The disease is caused by mutations affecting the gene represented in this entry.; DISEASE: Note=SCN1A mutations may be involved in Panayiotopoulos syndrome, a benign age-related focal seizure disorder occurring in early and mid-childhood. It is characterized by seizures, often prolonged, with predominantly autonomic symptoms, and by an electroencephalogram that shows shifting and/or multiple foci, often with occipital predominance. Autonomic seizures in Panayiotopoulos syndrome consist of episodes of disturbed autonomic function with emesis as the predominant symptom. Cardiorespiratory arrest is exceptional. {ECO:0000269|PubMed:17679682, ECO:0000269|PubMed:19339291, ECO:0000269|PubMed:19522081}.; </t>
  </si>
  <si>
    <t xml:space="preserve">159.64</t>
  </si>
  <si>
    <t xml:space="preserve">5,5</t>
  </si>
  <si>
    <t xml:space="preserve">41.64</t>
  </si>
  <si>
    <t xml:space="preserve">0.999549123627985</t>
  </si>
  <si>
    <t xml:space="preserve">ubiquitin protein ligase E3 component n-recognin 3 (putative)</t>
  </si>
  <si>
    <t xml:space="preserve">FUNCTION: E3 ubiquitin-protein ligase which is a component of the N-end rule pathway. Does not bind to proteins bearing specific N- terminal residues that are destabilizing according to the N-end rule, leading to their ubiquitination and subsequent degradation (By similarity). {ECO:0000250}.; </t>
  </si>
  <si>
    <t xml:space="preserve">959.02</t>
  </si>
  <si>
    <t xml:space="preserve">0,8,23</t>
  </si>
  <si>
    <t xml:space="preserve">8.79556820389947e-06</t>
  </si>
  <si>
    <t xml:space="preserve">cholinergic receptor nicotinic alpha 1 subunit</t>
  </si>
  <si>
    <t xml:space="preserve">FUNCTION: After binding acetylcholine, the AChR responds by an extensive change in conformation that affects all subunits and leads to opening of an ion-conducting channel across the plasma membrane.; </t>
  </si>
  <si>
    <t xml:space="preserve">DISEASE: Note=The alpha subunit is the main focus for antibody binding in myasthenia gravis. Myasthenia gravis is characterized by sporadic muscular fatigability and weakness, occurring chiefly in muscles innervated by cranial nerves, and characteristically improved by cholinesterase-inhibiting drugs.; DISEASE: Myasthenic syndrome, congenital, 1A, slow-channel (CMS1A) [MIM:601462]: A common congenital myasthenic syndrome. Congenital myasthenic syndromes are characterized by muscle weakness affecting the axial and limb muscles (with hypotonia in early- onset forms), the ocular muscles (leading to ptosis and ophthalmoplegia), and the facial and bulbar musculature (affecting sucking and swallowing, and leading to dysphonia). The symptoms fluctuate and worsen with physical effort. CMS1A is a slow-channel myasthenic syndrome. It is caused by kinetic abnormalities of the AChR, resulting in prolonged AChR channel opening episodes, prolonged endplate currents, and depolarization block. This is associated with calcium overload, which may contribute to subsequent degeneration of the endplate and postsynaptic membrane. {ECO:0000269|PubMed:16685696, ECO:0000269|PubMed:7619526, ECO:0000269|PubMed:8872460, ECO:0000269|PubMed:9158151, ECO:0000269|PubMed:9221765}. Note=The disease is caused by mutations affecting the gene represented in this entry.; DISEASE: Myasthenic syndrome, congenital, 1B, fast-channel (CMS1B) [MIM:608930]: A form of congenital myasthenic syndrome, a group of disorders characterized by failure of neuromuscular transmission, including pre-synaptic, synaptic, and post-synaptic disorders that are not of autoimmune origin. Clinical features are easy fatigability and muscle weakness affecting the axial and limb muscles (with hypotonia in early-onset forms), the ocular muscles (leading to ptosis and ophthalmoplegia), and the facial and bulbar musculature (affecting sucking and swallowing, and leading to dysphonia). The symptoms fluctuate and worsen with physical effort. CMS1B is a fast-channel myasthenic syndrome. It is caused by kinetic abnormalities of the AChR, resulting in brief opening and activity of the channel, with a rapid decay in endplate current, failure to achieve threshold depolarization of the endplate and consequent failure to fire an action potential. {ECO:0000269|PubMed:10195214, ECO:0000269|PubMed:12588888, ECO:0000269|PubMed:15079006}. Note=The disease is caused by mutations affecting the gene represented in this entry.; </t>
  </si>
  <si>
    <t xml:space="preserve">1064.64</t>
  </si>
  <si>
    <t xml:space="preserve">39,42</t>
  </si>
  <si>
    <t xml:space="preserve">TT</t>
  </si>
  <si>
    <t xml:space="preserve">183.60</t>
  </si>
  <si>
    <t xml:space="preserve">10,9</t>
  </si>
  <si>
    <t xml:space="preserve">2425.02</t>
  </si>
  <si>
    <t xml:space="preserve">14,53,55</t>
  </si>
  <si>
    <t xml:space="preserve">TA</t>
  </si>
  <si>
    <t xml:space="preserve">1889.02</t>
  </si>
  <si>
    <t xml:space="preserve">54</t>
  </si>
  <si>
    <t xml:space="preserve">0,9,45</t>
  </si>
  <si>
    <t xml:space="preserve">0.677557750178314</t>
  </si>
  <si>
    <t xml:space="preserve">GULP, engulfment adaptor PTB domain containing 1</t>
  </si>
  <si>
    <t xml:space="preserve">FUNCTION: May function as an adapter protein. Required for efficient phagocytosis of apoptotic cells. Modulates cellular glycosphingolipid and cholesterol transport. May play a role in the internalization and endosomal trafficking of various LRP1 ligands, such as PSAP. Increases cellular levels of GTP-bound ARF6. {ECO:0000269|PubMed:10574763, ECO:0000269|PubMed:10574771, ECO:0000269|PubMed:16497666, ECO:0000269|PubMed:17398097}.; </t>
  </si>
  <si>
    <t xml:space="preserve">544.02</t>
  </si>
  <si>
    <t xml:space="preserve">0,9,3</t>
  </si>
  <si>
    <t xml:space="preserve">2.02270864482359e-07</t>
  </si>
  <si>
    <t xml:space="preserve">ATP binding cassette subfamily A member 12</t>
  </si>
  <si>
    <t xml:space="preserve">FUNCTION: Probable transporter involved in lipid homeostasis.; </t>
  </si>
  <si>
    <t xml:space="preserve">DISEASE: Ichthyosis, congenital, autosomal recessive 4A (ARCI4A) [MIM:601277]: A form of autosomal recessive congenital ichthyosis, a disorder of keratinization with abnormal differentiation and desquamation of the epidermis, resulting in abnormal skin scaling over the whole body. The main skin phenotypes are lamellar ichthyosis (LI) and non-bullous congenital ichthyosiform erythroderma (NCIE), although phenotypic overlap within the same patient or among patients from the same family can occur. Lamellar ichthyosis is a condition often associated with an embedment in a collodion-like membrane at birth; skin scales later develop, covering the entire body surface. Non-bullous congenital ichthyosiform erythroderma characterized by fine whitish scaling on an erythrodermal background; larger brownish scales are present on the buttocks, neck and legs. {ECO:0000269|PubMed:12915478, ECO:0000269|PubMed:17508018, ECO:0000269|PubMed:18284401, ECO:0000269|PubMed:19262603, ECO:0000269|PubMed:22257947}. Note=The disease is caused by mutations affecting the gene represented in this entry.; DISEASE: Ichthyosis, congenital, autosomal recessive 4B (ARCI4B) [MIM:242500]: A rare, very severe form of congenital ichthyosis, in which the neonate is born with a thick covering of armor-like scales. The skin dries out to form hard diamond-shaped plaques separated by fissures, resembling 'armor plating'. The normal facial features are severely affected, with distortion of the lips (eclabion), eyelids (ectropion), ears, and nostrils. Affected babies are often born prematurely and rarely survive the perinatal period. Babies who survive into infancy and beyond develop skin changes resembling severe non-bullous congenital ichthyosiform erythroderma. {ECO:0000269|PubMed:15756637, ECO:0000269|PubMed:16675967, ECO:0000269|PubMed:16902423}. Note=The disease is caused by mutations affecting the gene represented in this entry.; </t>
  </si>
  <si>
    <t xml:space="preserve">2455.60</t>
  </si>
  <si>
    <t xml:space="preserve">159</t>
  </si>
  <si>
    <t xml:space="preserve">80,79</t>
  </si>
  <si>
    <t xml:space="preserve">MOGAT1:NM_058165:exon5:c.833delG:p.A280Pfs*16;MOGAT1:uc010fwt.1:exon4:c.713delG:p.A240Pfs*16,MOGAT1:uc010fws.1:exon5:c.833delG:p.A280Pfs*16;ENSG00000124003:ENST00000446656:exon5:c.833delG:p.A280Pfs*16</t>
  </si>
  <si>
    <t xml:space="preserve">2.12658352177613e-06</t>
  </si>
  <si>
    <t xml:space="preserve">monoacylglycerol O-acyltransferase 1</t>
  </si>
  <si>
    <t xml:space="preserve">FUNCTION: Catalyzes the formation of diacylglycerol from 2- monoacylglycerol and fatty acyl-CoA. Probably not involved in absorption of dietary fat in the small intestine (By similarity). {ECO:0000250}.; </t>
  </si>
  <si>
    <t xml:space="preserve">TAATTT</t>
  </si>
  <si>
    <t xml:space="preserve">1417.02</t>
  </si>
  <si>
    <t xml:space="preserve">66</t>
  </si>
  <si>
    <t xml:space="preserve">1,37,28</t>
  </si>
  <si>
    <t xml:space="preserve">UTR3;downstream;ncRNA_intronic</t>
  </si>
  <si>
    <t xml:space="preserve">NM_004509:c.*205_*206insAAATTA;dist=11</t>
  </si>
  <si>
    <t xml:space="preserve">3.16369314039825e-09</t>
  </si>
  <si>
    <t xml:space="preserve">SP110 nuclear body protein</t>
  </si>
  <si>
    <t xml:space="preserve">FUNCTION: Transcription factor. May be a nuclear hormone receptor coactivator. Enhances transcription of genes with retinoic acid response elements (RARE).; </t>
  </si>
  <si>
    <t xml:space="preserve">DISEASE: Hepatic venoocclusive disease with immunodeficiency (VODI) [MIM:235550]: Autosomal recessive primary immunodeficiency associated with hepatic vascular occlusion and fibrosis. The immunodeficiency is characterized by severe hypogammaglobulinemia, combined T and B-cell immunodeficiency, absent lymph node germinal centers, and absent tissue plasma cells. {ECO:0000269|PubMed:16648851}. Note=The disease is caused by mutations affecting the gene represented in this entry.; </t>
  </si>
  <si>
    <t xml:space="preserve">158.60</t>
  </si>
  <si>
    <t xml:space="preserve">30,11</t>
  </si>
  <si>
    <t xml:space="preserve">0.959806530251926</t>
  </si>
  <si>
    <t xml:space="preserve">synaptosome associated protein 25kDa</t>
  </si>
  <si>
    <t xml:space="preserve">FUNCTION: t-SNARE involved in the molecular regulation of neurotransmitter release. May play an important role in the synaptic function of specific neuronal systems. Associates with proteins involved in vesicle docking and membrane fusion. Regulates plasma membrane recycling through its interaction with CENPF. Modulates the gating characteristics of the delayed rectifier voltage-dependent potassium channel KCNB1 in pancreatic beta cells. {ECO:0000250|UniProtKB:P60881}.; </t>
  </si>
  <si>
    <t xml:space="preserve">DISEASE: Myasthenic syndrome, congenital, 18 (CMS18) [MIM:616330]: A form of congenital myasthenic syndrome, a group of disorders characterized by failure of neuromuscular transmission, including pre-synaptic, synaptic, and post-synaptic disorders that are not of autoimmune origin. Clinical features are easy fatigability and muscle weakness affecting the axial and limb muscles (with hypotonia in early-onset forms), the ocular muscles (leading to ptosis and ophthalmoplegia), and the facial and bulbar musculature (affecting sucking and swallowing, and leading to dysphonia). The symptoms fluctuate and worsen with physical effort. CMS18 is an autosomal dominant presynaptic disorder clinically characterized by early-onset muscle weakness and easy fatigability associated with delayed psychomotor development and ataxia. {ECO:0000269|PubMed:25381298}. Note=The disease is caused by mutations affecting the gene represented in this entry.; </t>
  </si>
  <si>
    <t xml:space="preserve">151.64</t>
  </si>
  <si>
    <t xml:space="preserve">3,5</t>
  </si>
  <si>
    <t xml:space="preserve">kizuna centrosomal protein</t>
  </si>
  <si>
    <t xml:space="preserve">FUNCTION: Centrosomal protein required for establishing a robust mitotic centrosome architecture that can endure the forces that converge on the centrosomes during spindle formation. Required for stabilizing the expanded pericentriolar material around the centriole. {ECO:0000269|PubMed:16980960}.; </t>
  </si>
  <si>
    <t xml:space="preserve">DISEASE: Retinitis pigmentosa 69 (RP69) [MIM:615780]: A retinal dystrophy belonging to the group of pigmentary retinopathies. Retinitis pigmentosa is characterized by retinal pigment deposits visible on fundus examination and primary loss of rod photoreceptor cells followed by secondary loss of cone photoreceptors. Patients typically have night vision blindness and loss of midperipheral visual field. As their condition progresses, they lose their far peripheral visual field and eventually central vision as well. {ECO:0000269|PubMed:24680887}. Note=The disease is caused by mutations affecting the gene represented in this entry.; </t>
  </si>
  <si>
    <t xml:space="preserve">121</t>
  </si>
  <si>
    <t xml:space="preserve">64,57</t>
  </si>
  <si>
    <t xml:space="preserve">2.32481835791205e-15</t>
  </si>
  <si>
    <t xml:space="preserve">KIAA1755</t>
  </si>
  <si>
    <t xml:space="preserve">542.64</t>
  </si>
  <si>
    <t xml:space="preserve">28,23</t>
  </si>
  <si>
    <t xml:space="preserve">0.590252231777824</t>
  </si>
  <si>
    <t xml:space="preserve">serine incorporator 3</t>
  </si>
  <si>
    <t xml:space="preserve">FUNCTION: Restriction factor required to restrict infectivity of lentiviruses, such as HIV-1: acts by inhibiting an early step of viral infection. Impairs the penetration of the viral particle into the cytoplasm (PubMed:26416733, PubMed:26416734). {ECO:0000269|PubMed:26416733, ECO:0000269|PubMed:26416734}.; </t>
  </si>
  <si>
    <t xml:space="preserve">4376.64</t>
  </si>
  <si>
    <t xml:space="preserve">194</t>
  </si>
  <si>
    <t xml:space="preserve">78,116</t>
  </si>
  <si>
    <t xml:space="preserve">intergenic;splicing</t>
  </si>
  <si>
    <t xml:space="preserve">dist=253183;dist=34951;dist=253183;dist=34951;ENST00000540061:exon3:c.118+1G&gt;A</t>
  </si>
  <si>
    <t xml:space="preserve">5125.64</t>
  </si>
  <si>
    <t xml:space="preserve">252</t>
  </si>
  <si>
    <t xml:space="preserve">121,131</t>
  </si>
  <si>
    <t xml:space="preserve">intergenic;intronic</t>
  </si>
  <si>
    <t xml:space="preserve">dist=253229;dist=34905;dist=253229;dist=34905</t>
  </si>
  <si>
    <t xml:space="preserve">0.0600282483313238</t>
  </si>
  <si>
    <t xml:space="preserve">C2 calcium-dependent domain containing 2</t>
  </si>
  <si>
    <t xml:space="preserve">TGAC</t>
  </si>
  <si>
    <t xml:space="preserve">1780.60</t>
  </si>
  <si>
    <t xml:space="preserve">48,46</t>
  </si>
  <si>
    <t xml:space="preserve">UMODL1:NM_001004416:exon2:c.269_272del:p.D92Afs*16,UMODL1:NM_001199527:exon2:c.53_56del:p.D20Afs*16,UMODL1:NM_001199528:exon2:c.53_56del:p.D20Afs*16,UMODL1:NM_173568:exon2:c.269_272del:p.D92Afs*16;UMODL1:uc002zad.1:exon2:c.53_56del:p.D20Afs*16,UMODL1:uc002zae.1:exon2:c.53_56del:p.D20Afs*16,UMODL1:uc002zaf.1:exon2:c.269_272del:p.D92Afs*16,UMODL1:uc002zag.1:exon2:c.269_272del:p.D92Afs*16;ENSG00000177398:ENST00000400424:exon2:c.53_56del:p.D20Afs*16,ENSG00000177398:ENST00000400427:exon2:c.53_56del:p.D20Afs*16,ENSG00000177398:ENST00000408910:exon2:c.269_272del:p.D92Afs*16,ENSG00000177398:ENST00000408989:exon2:c.269_272del:p.D92Afs*16</t>
  </si>
  <si>
    <t xml:space="preserve">2.27450532319603e-24</t>
  </si>
  <si>
    <t xml:space="preserve">uromodulin like 1</t>
  </si>
  <si>
    <t xml:space="preserve">90.02</t>
  </si>
  <si>
    <t xml:space="preserve">1,4,4</t>
  </si>
  <si>
    <t xml:space="preserve">5.25343969690408e-05</t>
  </si>
  <si>
    <t xml:space="preserve">cat eye syndrome chromosome region, candidate 1</t>
  </si>
  <si>
    <t xml:space="preserve">FUNCTION: Adenosine deaminase that may contribute to the degradation of extracellular adenosine, a signaling molecule that controls a variety of cellular responses. Requires elevated adenosine levels for optimal enzyme activity. Binds to cell surfaces via proteoglycans and may play a role in the regulation of cell proliferation and differentiation, independently of its enzyme activity. {ECO:0000269|PubMed:20147294, ECO:0000269|PubMed:20453107}.; </t>
  </si>
  <si>
    <t xml:space="preserve">DISEASE: Polyarteritis nodosa (PAN) [MIM:615688]: A systemic necrotizing vasculitis that affects medium and small arteries. The ensuing tissue ischemia can affect any organ, including the skin, musculoskeletal system, kidneys, gastrointestinal tract, and the cardiovascular and nervous systems. Organ involvement and disease severity are highly variable. Clinical features include recurrent ischemic stroke affecting the small vessels of the brain and resulting in neurologic dysfunction, recurrent fever, myalgias, livedoid rash, gastrointestinal pain and hepatosplenomegaly. {ECO:0000269|PubMed:24552284, ECO:0000269|PubMed:24552285}. Note=The disease is caused by mutations affecting the gene represented in this entry.; DISEASE: Sneddon syndrome (SNDDS) [MIM:182410]: A systemic non- inflammatory thrombotic vasculopathy characterized by the association of livedo racemosa, and in some cases livedo reticularis, with cerebrovascular disease. Livedo racemosa is a persistent net-like violaceous-cyanotic, mottled discoloration of the skin affecting the legs, the arms, the buttocks and the trunk; livedo reticularis is limited to the extremities and is visible only in the cold. Cerebrovascular features include recurrent transient ischemic attacks, infarcts, and rarely spinal strokes or intracranial or subarachnoid hemorrhages. Headache and vertigo may precede the onset of livedo racemosa and cerebrovascular manifestations by several years. Rare neurologic symptoms include seizures, chorea, or myelopathies. {ECO:0000269|PubMed:25075847}. Note=The disease is caused by mutations affecting the gene represented in this entry.; </t>
  </si>
  <si>
    <t xml:space="preserve">484.64</t>
  </si>
  <si>
    <t xml:space="preserve">15,13</t>
  </si>
  <si>
    <t xml:space="preserve">7.62101542352864e-07</t>
  </si>
  <si>
    <t xml:space="preserve">DiGeorge syndrome critical region gene 6</t>
  </si>
  <si>
    <t xml:space="preserve">FUNCTION: May play a role in neural crest cell migration into the third and fourth pharyngeal pouches.; </t>
  </si>
  <si>
    <t xml:space="preserve">1888.64</t>
  </si>
  <si>
    <t xml:space="preserve">191</t>
  </si>
  <si>
    <t xml:space="preserve">124,67</t>
  </si>
  <si>
    <t xml:space="preserve">0.676974716705773</t>
  </si>
  <si>
    <t xml:space="preserve">gamma-glutamyltransferase 1</t>
  </si>
  <si>
    <t xml:space="preserve">FUNCTION: Cleaves the gamma-glutamyl bond of extracellular glutathione (gamma-Glu-Cys-Gly), glutathione conjugates, and other gamma-glutamyl compounds. The metabolism of glutathione releases free glutamate and the dipeptide, cysteinyl-glycine, which is hydrolyzed to cysteine and glycine by dipeptidases. In the presence of high concentrations of dipeptides and some amino acids, can also catalyze a transpeptidation reaction, transferring the gamma-glutamyl moiety to an acceptor amino acid to form a new gamma-glutamyl compound. Initiates extracellular glutathione (GSH) breakdown, provides cells with a local cysteine supply and contributes to maintain intracellular GSH level. It is part of the cell antioxidant defense mechanism. Isoform 3 seems to be inactive. {ECO:0000269|PubMed:20622017, ECO:0000269|PubMed:24047895, ECO:0000269|PubMed:7673200, ECO:0000269|PubMed:7759490, ECO:0000269|PubMed:8095045, ECO:0000269|PubMed:8827453}.; </t>
  </si>
  <si>
    <t xml:space="preserve">DISEASE: Glutathionuria (GLUTH) [MIM:231950]: Autosomal recessive disease. Note=The disease is caused by mutations affecting the gene represented in this entry.; </t>
  </si>
  <si>
    <t xml:space="preserve">934.64</t>
  </si>
  <si>
    <t xml:space="preserve">141,33</t>
  </si>
  <si>
    <t xml:space="preserve">uc003amv.3:c.-58A&gt;G</t>
  </si>
  <si>
    <t xml:space="preserve">0.0987224228672443</t>
  </si>
  <si>
    <t xml:space="preserve">F-box protein 7</t>
  </si>
  <si>
    <t xml:space="preserve">FUNCTION: Substrate recognition component of a SCF (SKP1-CUL1-F- box protein) E3 ubiquitin-protein ligase complex which mediates the ubiquitination and subsequent proteasomal degradation of target proteins. Recognizes BIRC2 and DLGAP5. Plays a role downstream of PINK1 in the clearance of damaged mitochondria via selective autophagy (mitophagy) by targeting PARK2 to dysfunctional depolarized mitochondria. Promotes MFN1 ubiquitination. {ECO:0000269|PubMed:15145941, ECO:0000269|PubMed:16510124, ECO:0000269|PubMed:23933751}.; </t>
  </si>
  <si>
    <t xml:space="preserve">DISEASE: Parkinson disease 15 (PARK15) [MIM:260300]: A neurodegenerative disorder characterized by parkinsonian and pyramidal signs. Clinical manifestations include tremor, bradykinesia, rigidity, postural instability, spasticity, mainly in the lower limbs, and hyperreflexia. {ECO:0000269|PubMed:18513678}. Note=The disease is caused by mutations affecting the gene represented in this entry.; </t>
  </si>
  <si>
    <t xml:space="preserve">120.64</t>
  </si>
  <si>
    <t xml:space="preserve">0.999999563778174</t>
  </si>
  <si>
    <t xml:space="preserve">SET domain containing 5</t>
  </si>
  <si>
    <t xml:space="preserve">DISEASE: Mental retardation, autosomal dominant 23 (MRD23) [MIM:615761]: A disorder characterized by significantly below average general intellectual functioning associated with impairments in adaptive behavior and manifested during the developmental period. MRD23 patients manifest moderate to severe intellectual disability with additional variable features of brachycephaly, a low hairline, depressed nasal bridge, prominent high nasal root, tubular nose, upslanting palpebral fissures, long and smooth philtrum, micrognathia, thin upper lip, and crowded teeth. Behavioral problems, including obsessive-compulsive disorder, hand flapping with ritualized behavior, and autism, are prominent features. {ECO:0000269|PubMed:24680889}. Note=The disease is caused by mutations affecting the gene represented in this entry.; </t>
  </si>
  <si>
    <t xml:space="preserve">1649.60</t>
  </si>
  <si>
    <t xml:space="preserve">FANCD2:NM_001018115:exon7:c.460delT:p.F154Lfs*27,FANCD2:NM_001319984:exon7:c.460delT:p.F154Lfs*27,FANCD2:NM_033084:exon7:c.460delT:p.F154Lfs*27;FANCD2:uc003buv.3:exon7:c.460delT:p.F154Lfs*27,FANCD2:uc003buw.3:exon7:c.460delT:p.F154Lfs*27,FANCD2:uc003bux.1:exon7:c.460delT:p.F154Lfs*27,FANCD2:uc003buy.1:exon7:c.460delT:p.F154Lfs*27;ENSG00000144554:ENST00000431693:exon6:c.460delT:p.F154Lfs*27,ENSG00000144554:ENST00000287647:exon7:c.460delT:p.F154Lfs*27,ENSG00000144554:ENST00000383806:exon7:c.460delT:p.F154Lfs*27,ENSG00000144554:ENST00000383807:exon7:c.460delT:p.F154Lfs*27,ENSG00000144554:ENST00000419585:exon7:c.460delT:p.F154Lfs*27</t>
  </si>
  <si>
    <t xml:space="preserve">2.47937339463725e-14</t>
  </si>
  <si>
    <t xml:space="preserve">Fanconi anemia complementation group D2</t>
  </si>
  <si>
    <t xml:space="preserve">FUNCTION: Required for maintenance of chromosomal stability. Promotes accurate and efficient pairing of homologs during meiosis. Involved in the repair of DNA double-strand breaks, both by homologous recombination and single-strand annealing. May participate in S phase and G2 phase checkpoint activation upon DNA damage. Plays a role in preventing breakage and loss of missegregating chromatin at the end of cell division, particularly after replication stress. Required for the targeting, or stabilization, of BLM to non-centromeric abnormal structures induced by replicative stress. Promotes BRCA2/FANCD1 loading onto damaged chromatin. May also be involved in B-cell immunoglobulin isotype switching. {ECO:0000269|PubMed:11239453, ECO:0000269|PubMed:11239454, ECO:0000269|PubMed:12086603, ECO:0000269|PubMed:12239151, ECO:0000269|PubMed:14517836, ECO:0000269|PubMed:15115758, ECO:0000269|PubMed:15314022, ECO:0000269|PubMed:15377654, ECO:0000269|PubMed:15454491, ECO:0000269|PubMed:15650050, ECO:0000269|PubMed:15661754, ECO:0000269|PubMed:15671039, ECO:0000269|PubMed:19465921}.; </t>
  </si>
  <si>
    <t xml:space="preserve">DISEASE: Fanconi anemia complementation group D2 (FANCD2) [MIM:227646]: A disorder affecting all bone marrow elements and resulting in anemia, leukopenia and thrombopenia. It is associated with cardiac, renal and limb malformations, dermal pigmentary changes, and a predisposition to the development of malignancies. At the cellular level it is associated with hypersensitivity to DNA-damaging agents, chromosomal instability (increased chromosome breakage) and defective DNA repair. {ECO:0000269|PubMed:11239453}. Note=The disease is caused by mutations affecting the gene represented in this entry.; </t>
  </si>
  <si>
    <t xml:space="preserve">91.60</t>
  </si>
  <si>
    <t xml:space="preserve">9,5</t>
  </si>
  <si>
    <t xml:space="preserve">NM_001351101:exon3:c.125-2-&gt;T;NM_001351099:exon3:c.125-2-&gt;T;NM_001351108:exon3:c.125-2-&gt;T;NM_001351098:exon3:c.125-2-&gt;T;NM_001351104:exon3:c.125-2-&gt;T;NM_001351103:exon3:c.125-2-&gt;T;NM_001351107:exon3:c.125-2-&gt;T;NM_001351106:exon3:c.125-2-&gt;T;NM_001351102:exon3:c.125-2-&gt;T;NM_001199161:exon3:c.125-2-&gt;T;NM_001199162:exon3:c.125-2-&gt;T;NM_001199160:exon3:c.125-2-&gt;T;NM_001351100:exon3:c.125-2-&gt;T;NM_001351105:exon3:c.125-2-&gt;T;NM_006677:exon3:c.125-2-&gt;T;uc003cvz.4:exon3:c.125-2-&gt;T;uc011bcg.2:exon3:c.125-2-&gt;T;uc003cwb.3:exon3:c.125-2-&gt;T;uc011bch.2:exon3:c.125-2-&gt;T;uc003cwd.2:exon3:c.125-2-&gt;T;uc011bci.2:exon3:c.125-2-&gt;T;ENST00000417901:exon3:c.125-2-&gt;T;ENST00000453664:exon3:c.125-2-&gt;T;ENST00000398888:exon3:c.125-2-&gt;T;ENST00000434032:exon3:c.125-2-&gt;T;ENST00000306026:exon3:c.125-2-&gt;T</t>
  </si>
  <si>
    <t xml:space="preserve">0.999991981492882</t>
  </si>
  <si>
    <t xml:space="preserve">ubiquitin specific peptidase 19</t>
  </si>
  <si>
    <t xml:space="preserve">FUNCTION: Deubiquitinating enzyme that regulates the degradation of various proteins. Deubiquitinates and prevents proteasomal degradation of RNF123 which in turn stimulates CDKN1B ubiquitin- dependent degradation thereby playing a role in cell proliferation. Involved in decreased protein synthesis in atrophying skeletal muscle. Modulates transcription of major myofibrillar proteins. Also involved in turnover of endoplasmic- reticulum-associated degradation (ERAD) substrates. Regulates the stability of BIRC2/c-IAP1 and BIRC3/c-IAP2 by preventing their ubiquitination. Required for cells to mount an appropriate response to hypoxia and rescues HIF1A from degradation in a non- catalytic manner. Plays an important role in 17 beta-estradiol (E2)-inhibited myogenesis. Decreases the levels of ubiquitinated proteins during skeletal muscle formation and acts to repress myogenesis. Exhibits a preference towards 'Lys-63'-linked Ubiquitin chains. {ECO:0000269|PubMed:19465887, ECO:0000269|PubMed:21849505, ECO:0000269|PubMed:22128162, ECO:0000269|PubMed:22689415}.; </t>
  </si>
  <si>
    <t xml:space="preserve">TTTTT</t>
  </si>
  <si>
    <t xml:space="preserve">1024.02</t>
  </si>
  <si>
    <t xml:space="preserve">2,16,28</t>
  </si>
  <si>
    <t xml:space="preserve">ENSG00000004534:ENST00000454079:exon14:c.2057_2061del:p.F692Lfs*81</t>
  </si>
  <si>
    <t xml:space="preserve">0.999999963583324</t>
  </si>
  <si>
    <t xml:space="preserve">RNA binding motif protein 6</t>
  </si>
  <si>
    <t xml:space="preserve">FUNCTION: Specifically binds poly(G) RNA homopolymers in vitro.; </t>
  </si>
  <si>
    <t xml:space="preserve">ENSG00000004534:ENST00000454079:exon14:c.2060_2061del:p.F693Lfs*81</t>
  </si>
  <si>
    <t xml:space="preserve">GAT</t>
  </si>
  <si>
    <t xml:space="preserve">58.60</t>
  </si>
  <si>
    <t xml:space="preserve">48,5</t>
  </si>
  <si>
    <t xml:space="preserve">CACNA1D:NM_000720:exon1:c.1_2del:p.M1?,CACNA1D:NM_001128839:exon1:c.1_2del:p.M1?,CACNA1D:NM_001128840:exon1:c.1_2del:p.M1?;CACNA1D:uc003dgu.5:exon1:c.1_2del:p.M1?,CACNA1D:uc003dgv.5:exon1:c.1_2del:p.M1?,CACNA1D:uc003dgy.5:exon1:c.1_2del:p.M1?;ENSG00000157388:ENST00000288139:exon1:c.1_2del:p.M1?,ENSG00000157388:ENST00000350061:exon1:c.1_2del:p.M1?,ENSG00000157388:ENST00000422281:exon1:c.1_2del:p.M1?</t>
  </si>
  <si>
    <t xml:space="preserve">0.99999999998943</t>
  </si>
  <si>
    <t xml:space="preserve">calcium voltage-gated channel subunit alpha1 D</t>
  </si>
  <si>
    <t xml:space="preserve">FUNCTION: Voltage-sensitive calcium channels (VSCC) mediate the entry of calcium ions into excitable cells and are also involved in a variety of calcium-dependent processes, including muscle contraction, hormone or neurotransmitter release, gene expression, cell motility, cell division and cell death. The isoform alpha-1D gives rise to L-type calcium currents. Long-lasting (L-type) calcium channels belong to the 'high-voltage activated' (HVA) group. They are blocked by dihydropyridines (DHP), phenylalkylamines, benzothiazepines, and by omega-agatoxin-IIIA (omega-Aga-IIIA). They are however insensitive to omega-conotoxin- GVIA (omega-CTx-GVIA) and omega-agatoxin-IVA (omega-Aga-IVA). {ECO:0000269|PubMed:18482979}.; </t>
  </si>
  <si>
    <t xml:space="preserve">DISEASE: Sinoatrial node dysfunction and deafness (SANDD) [MIM:614896]: A disease characterized by congenital severe to profound deafness without vestibular dysfunction, associated with episodic syncope due to intermittent pronounced bradycardia. {ECO:0000269|PubMed:21131953}. Note=The disease is caused by mutations affecting the gene represented in this entry.; DISEASE: Primary aldosteronism, seizures, and neurologic abnormalities (PASNA) [MIM:615474]: A disorder characterized by hypertension, hypokalemia, and high aldosterone levels with low plasma renin activity and an elevated aldosterone/renin ratio. Other features include generalized seizures, cerebral palsy, spasticity, intellectual disability, and developmental delay. {ECO:0000269|PubMed:23913001}. Note=The disease is caused by mutations affecting the gene represented in this entry.; </t>
  </si>
  <si>
    <t xml:space="preserve">472.64</t>
  </si>
  <si>
    <t xml:space="preserve">18,17</t>
  </si>
  <si>
    <t xml:space="preserve">0.000394165957730919</t>
  </si>
  <si>
    <t xml:space="preserve">dynein axonemal heavy chain 12</t>
  </si>
  <si>
    <t xml:space="preserve">FUNCTION: Force generating protein of respiratory cilia. Produces force towards the minus ends of microtubules. Dynein has ATPase activity; the force-producing power stroke is thought to occur on release of ADP. Involved in sperm motility; implicated in sperm flagellar assembly (By similarity). {ECO:0000250}.; </t>
  </si>
  <si>
    <t xml:space="preserve">7.75895224134516e-08</t>
  </si>
  <si>
    <t xml:space="preserve">developmental pluripotency associated 2</t>
  </si>
  <si>
    <t xml:space="preserve">FUNCTION: Binds to target gene promoters, including NKX2-5 and SYCE1, but not GATA4, and may be involved in the maintenance of the active epigenetic status of these genes. {ECO:0000250}.; </t>
  </si>
  <si>
    <t xml:space="preserve">54.60</t>
  </si>
  <si>
    <t xml:space="preserve">86,14</t>
  </si>
  <si>
    <t xml:space="preserve">ENSG00000091986:ENST00000479368:exon1:c.50dupT:p.W18Lfs*8</t>
  </si>
  <si>
    <t xml:space="preserve">0.00584309877267669</t>
  </si>
  <si>
    <t xml:space="preserve">coiled-coil domain containing 80</t>
  </si>
  <si>
    <t xml:space="preserve">FUNCTION: Promotes cell adhesion and matrix assembly. {ECO:0000250}.; </t>
  </si>
  <si>
    <t xml:space="preserve">840.64</t>
  </si>
  <si>
    <t xml:space="preserve">59,34</t>
  </si>
  <si>
    <t xml:space="preserve">NM_001102608:exon3:c.1282+1G&gt;C;uc010htl.3:exon3:c.1282+1G&gt;C;ENST00000453409:exon3:c.1282+1G&gt;C;ENST00000358511:exon3:c.1282+1G&gt;C</t>
  </si>
  <si>
    <t xml:space="preserve">3.59168701863295e-45</t>
  </si>
  <si>
    <t xml:space="preserve">collagen type VI alpha 6</t>
  </si>
  <si>
    <t xml:space="preserve">FUNCTION: Collagen VI acts as a cell-binding protein. {ECO:0000250}.; </t>
  </si>
  <si>
    <t xml:space="preserve">39.60</t>
  </si>
  <si>
    <t xml:space="preserve">133,20</t>
  </si>
  <si>
    <t xml:space="preserve">ASTE1:NM_014065:exon6:c.1894dupA:p.R632Kfs*11,ASTE1:NM_001288950:exon7:c.1969dupA:p.R657Kfs*11;ASTE1:uc003env.1:exon6:c.1894dupA:p.R632Kfs*11,ASTE1:uc010htm.1:exon7:c.1969dupA:p.R657Kfs*11;ENSG00000034533:ENST00000264992:exon6:c.1894dupA:p.R632Kfs*11,ENSG00000034533:ENST00000514044:exon7:c.1969dupA:p.R657Kfs*11</t>
  </si>
  <si>
    <t xml:space="preserve">3.39138941425054e-12</t>
  </si>
  <si>
    <t xml:space="preserve">asteroid homolog 1 (Drosophila)</t>
  </si>
  <si>
    <t xml:space="preserve">FUNCTION: Possible role in EGF receptor signaling. {ECO:0000250}.; </t>
  </si>
  <si>
    <t xml:space="preserve">96.60</t>
  </si>
  <si>
    <t xml:space="preserve">18,8</t>
  </si>
  <si>
    <t xml:space="preserve">UTR3;intronic;ncRNA_exonic</t>
  </si>
  <si>
    <t xml:space="preserve">uc003euy.1:c.*1307_*1308insT</t>
  </si>
  <si>
    <t xml:space="preserve">0.701297833041861</t>
  </si>
  <si>
    <t xml:space="preserve">ATR serine/threonine kinase</t>
  </si>
  <si>
    <t xml:space="preserve">FUNCTION: Serine/threonine protein kinase which activates checkpoint signaling upon genotoxic stresses such as ionizing radiation (IR), ultraviolet light (UV), or DNA replication stalling, thereby acting as a DNA damage sensor. Recognizes the substrate consensus sequence [ST]-Q. Phosphorylates BRCA1, CHEK1, MCM2, RAD17, RPA2, SMC1 and p53/TP53, which collectively inhibit DNA replication and mitosis and promote DNA repair, recombination and apoptosis. Phosphorylates 'Ser-139' of histone variant H2AX/H2AFX at sites of DNA damage, thereby regulating DNA damage response mechanism. Required for FANCD2 ubiquitination. Critical for maintenance of fragile site stability and efficient regulation of centrosome duplication. {ECO:0000269|PubMed:10597277, ECO:0000269|PubMed:10608806, ECO:0000269|PubMed:10859164, ECO:0000269|PubMed:11114888, ECO:0000269|PubMed:11418864, ECO:0000269|PubMed:11673449, ECO:0000269|PubMed:11721054, ECO:0000269|PubMed:11865061, ECO:0000269|PubMed:12526805, ECO:0000269|PubMed:12791985, ECO:0000269|PubMed:12814551, ECO:0000269|PubMed:14657349, ECO:0000269|PubMed:14729973, ECO:0000269|PubMed:14742437, ECO:0000269|PubMed:15210935, ECO:0000269|PubMed:15314022, ECO:0000269|PubMed:15496423, ECO:0000269|PubMed:16260606, ECO:0000269|PubMed:21144835, ECO:0000269|PubMed:9427750, ECO:0000269|PubMed:9636169, ECO:0000269|PubMed:9925639}.; </t>
  </si>
  <si>
    <t xml:space="preserve">DISEASE: Seckel syndrome 1 (SCKL1) [MIM:210600]: A rare autosomal recessive disorder characterized by proportionate dwarfism of prenatal onset associated with low birth weight, growth retardation, severe microcephaly with a bird-headed like appearance, and mental retardation. {ECO:0000269|PubMed:12640452}. Note=The disease is caused by mutations affecting the gene represented in this entry.; DISEASE: Cutaneous telangiectasia and cancer syndrome, familial (FCTCS) [MIM:614564]: A disease characterized by cutaneous telangiectases in infancy with patchy alopecia over areas of affected skin, thinning of the lateral eyebrows, and mild dental and nail anomalies. Affected individuals are at increased risk of developing oropharyngeal cancer, and other malignancies have been reported as well. {ECO:0000269|PubMed:22341969}. Note=The disease is caused by mutations affecting the gene represented in this entry.; </t>
  </si>
  <si>
    <t xml:space="preserve">121.60</t>
  </si>
  <si>
    <t xml:space="preserve">uc003euy.1:c.*1298delG</t>
  </si>
  <si>
    <t xml:space="preserve">0</t>
  </si>
  <si>
    <t xml:space="preserve">435.01</t>
  </si>
  <si>
    <t xml:space="preserve">0,8,18</t>
  </si>
  <si>
    <t xml:space="preserve">uc003euy.1:c.*1298G&gt;0</t>
  </si>
  <si>
    <t xml:space="preserve">39.64</t>
  </si>
  <si>
    <t xml:space="preserve">5,2</t>
  </si>
  <si>
    <t xml:space="preserve">84.64</t>
  </si>
  <si>
    <t xml:space="preserve">4,3</t>
  </si>
  <si>
    <t xml:space="preserve">0.990513001427957</t>
  </si>
  <si>
    <t xml:space="preserve">defective in cullin neddylation 1 domain containing 1</t>
  </si>
  <si>
    <t xml:space="preserve">FUNCTION: Part of an E3 ubiquitin ligase complex for neddylation. Promotes neddylation of cullin components of E3 cullin-RING ubiquitin ligase complexes. Acts by binding to cullin-RBX1 complexes in the cytoplasm and promoting their nuclear translocation, enhancing recruitment of E2-NEDD8 (UBE2M-NEDD8) thioester to the complex, and optimizing the orientation of proteins in the complex to allow efficient transfer of NEDD8 from the E2 to the cullin substrates (PubMed:25349211). Involved in the release of inhibitory effets of CAND1 on cullin-RING ligase E3 complex assembly and activity. Acts also as an oncogene facilitating malignant transformation and carcinogenic progression (By similarity). {ECO:0000250, ECO:0000269|PubMed:25349211}.; </t>
  </si>
  <si>
    <t xml:space="preserve">1549.64</t>
  </si>
  <si>
    <t xml:space="preserve">56,65</t>
  </si>
  <si>
    <t xml:space="preserve">NM_001366112:exon3:c.139+1G&gt;A;NM_020386:exon2:c.139+1G&gt;A;uc003fta.4:exon2:c.454+1G&gt;A;ENST00000602513:exon2:c.139+1G&gt;A;ENST00000264735:exon2:c.454+1G&gt;A</t>
  </si>
  <si>
    <t xml:space="preserve">0.000717831128354625</t>
  </si>
  <si>
    <t xml:space="preserve">HRAS like suppressor</t>
  </si>
  <si>
    <t xml:space="preserve">FUNCTION: Exhibits calcium-independent phospholipase activity towards phosphatidylcholine (PC) and phosphatidylethanolamine (PE). Also shows acyltransferase activities, transferring an acyl group of PCs to the amino group of PEs and the hydroxyl group of lyso PCs. {ECO:0000269|PubMed:21880860}.; </t>
  </si>
  <si>
    <t xml:space="preserve">GTGT</t>
  </si>
  <si>
    <t xml:space="preserve">2573.02</t>
  </si>
  <si>
    <t xml:space="preserve">72</t>
  </si>
  <si>
    <t xml:space="preserve">0,42,30</t>
  </si>
  <si>
    <t xml:space="preserve">6.07648654021509e-10</t>
  </si>
  <si>
    <t xml:space="preserve">ATP13A4 antisense RNA 1;ATPase 13A4</t>
  </si>
  <si>
    <t xml:space="preserve">DISEASE: Note=A chromosomal aberration involving ATP13A4 is found in 2 patients with specific language impairment (SLI) disorders. Paracentric inversion inv(3)(q25;q29). The inversion produces a disruption of the protein. {ECO:0000269|PubMed:15925480}.; </t>
  </si>
  <si>
    <t xml:space="preserve">TGCCCATGTGGAGTGCCCGCCTGCTCACACA</t>
  </si>
  <si>
    <t xml:space="preserve">3259.60</t>
  </si>
  <si>
    <t xml:space="preserve">81,84</t>
  </si>
  <si>
    <t xml:space="preserve">dist=6513;dist=8370;CRIPAK:uc003gdf.2:exon1:c.51_52insTGCCCATGTGGAGTGCCCGCCTGCTCACACA:p.C27Hfs*391;ENSG00000179979:ENST00000324803:exon1:c.51_52insTGCCCATGTGGAGTGCCCGCCTGCTCACACA:p.C27Hfs*391</t>
  </si>
  <si>
    <t xml:space="preserve">2.43127197997244e-12</t>
  </si>
  <si>
    <t xml:space="preserve">cysteine rich PAK1 inhibitor</t>
  </si>
  <si>
    <t xml:space="preserve">FUNCTION: Negative regulator of PAK1. It has been suggested that the lost of CRIPAK in breast tumors might contribute to hormonal independence. {ECO:0000269|PubMed:16278681}.; </t>
  </si>
  <si>
    <t xml:space="preserve">CACG</t>
  </si>
  <si>
    <t xml:space="preserve">407.60</t>
  </si>
  <si>
    <t xml:space="preserve">61,17</t>
  </si>
  <si>
    <t xml:space="preserve">dist=6919;dist=7964;CRIPAK:uc003gdf.2:exon1:c.457_458insCACG:p.M153Tfs*256;ENSG00000179979:ENST00000324803:exon1:c.457_458insCACG:p.M153Tfs*256</t>
  </si>
  <si>
    <t xml:space="preserve">320.60</t>
  </si>
  <si>
    <t xml:space="preserve">218</t>
  </si>
  <si>
    <t xml:space="preserve">187,31</t>
  </si>
  <si>
    <t xml:space="preserve">C4orf50:NM_001364690:exon5:c.2366_2367del:p.E789Gfs*11,C4orf50:NM_001364689:exon6:c.2903_2904del:p.E968Gfs*11;ENSG00000181215:ENST00000531445:exon1:c.629_630del:p.E210Gfs*11</t>
  </si>
  <si>
    <t xml:space="preserve">6.34225080498418e-10</t>
  </si>
  <si>
    <t xml:space="preserve">chromosome 4 open reading frame 50</t>
  </si>
  <si>
    <t xml:space="preserve">333.60</t>
  </si>
  <si>
    <t xml:space="preserve">188</t>
  </si>
  <si>
    <t xml:space="preserve">154,34</t>
  </si>
  <si>
    <t xml:space="preserve">NM_148894:exon21:c.8669-2-&gt;T;uc003gmz.1:exon21:c.8669-2-&gt;T;ENST00000040738:exon21:c.8669-2-&gt;T</t>
  </si>
  <si>
    <t xml:space="preserve">0.999528154229673</t>
  </si>
  <si>
    <t xml:space="preserve">biorientation of chromosomes in cell division 1 like 1</t>
  </si>
  <si>
    <t xml:space="preserve">FUNCTION: Component of the fork protection machinery required to protect stalled/damaged replication forks from uncontrolled DNA2- dependent resection. Acts by stabilizing RAD51 at stalled replication forks and protecting RAD51 nucleofilaments from the antirecombinogenic activities of FBXO18/FBH1 and BLM (PubMed:26166705). Does not regulate spindle orientation (PubMed:26166705). {ECO:0000269|PubMed:26166705}.; </t>
  </si>
  <si>
    <t xml:space="preserve">1013.64</t>
  </si>
  <si>
    <t xml:space="preserve">15,34</t>
  </si>
  <si>
    <t xml:space="preserve">1.8739349735319e-06</t>
  </si>
  <si>
    <t xml:space="preserve">sec1 family domain containing 2</t>
  </si>
  <si>
    <t xml:space="preserve">FUNCTION: May be involved in protein transport.; </t>
  </si>
  <si>
    <t xml:space="preserve">154.64</t>
  </si>
  <si>
    <t xml:space="preserve">0.717781972812012</t>
  </si>
  <si>
    <t xml:space="preserve">serine peptidase inhibitor, Kazal type 2</t>
  </si>
  <si>
    <t xml:space="preserve">FUNCTION: Strong inhibitor of acrosin in male and/or female genital tract. Also inhibits trypsin. {ECO:0000269|PubMed:19422058}.; </t>
  </si>
  <si>
    <t xml:space="preserve">TGTGTGTGTG</t>
  </si>
  <si>
    <t xml:space="preserve">1679.02</t>
  </si>
  <si>
    <t xml:space="preserve">0,8,34</t>
  </si>
  <si>
    <t xml:space="preserve">0.000618023464984046</t>
  </si>
  <si>
    <t xml:space="preserve">dentin sialophosphoprotein</t>
  </si>
  <si>
    <t xml:space="preserve">FUNCTION: DSP may be an important factor in dentinogenesis. DPP may bind high amount of calcium and facilitate initial mineralization of dentin matrix collagen as well as regulate the size and shape of the crystals.; </t>
  </si>
  <si>
    <t xml:space="preserve">DISEASE: Deafness, autosomal dominant, 39, with dentinogenesis imperfecta 1 (DFNA39/DGI1) [MIM:605594]: A disorder characterized by the association of progressive sensorineural high-frequency hearing loss with dentinogenesis imperfecta. {ECO:0000269|PubMed:11175790}. Note=The disease is caused by mutations affecting the gene represented in this entry.; DISEASE: Dentinogenesis imperfecta, Shields type 2 (DGI2) [MIM:125490]: A form of dentinogenesis imperfecta, an autosomal dominant dentin disorder characterized by amber-brown, opalescent teeth that fracture and shed their enamel during mastication, thereby exposing the dentin to rapid wear. Radiographically, the crown appears bulbous and pulpal obliteration is common. The pulp chambers are initially larger than normal prior and immediately after tooth eruption, and then progressively close down to become almost obliterated by abnormal dentin formation. Roots are short and thin. Both primary and permanent teeth are affected. DGI2 is not associated with osteogenesis imperfecta. {ECO:0000269|PubMed:11175779, ECO:0000269|PubMed:14758537, ECO:0000269|PubMed:17627120, ECO:0000269|PubMed:21029264}. Note=The disease is caused by mutations affecting the gene represented in this entry. DSPP defects causing dentin abnormalities act in a dominant negative manner and include missense, splice-site, frameshift mutations. 5' frameshift mutations cause dentin dysplasia while frameshift mutations at the 3' end cause the more severe dentinogenesis imperfecta phenotype (PubMed:18521831 and PubMed:22392858).; DISEASE: Dentinogenesis imperfecta, Shields type 3 (DGI3) [MIM:125500]: A form of dentinogenesis imperfecta, an autosomal dominant dentin disorder characterized by amber-brown, opalescent teeth that fracture and shed their enamel during mastication, thereby exposing the dentin to rapid wear. Radiographically, the crown appears bulbous and pulpal obliteration is common. The pulp chambers are initially larger than normal prior and immediately after tooth eruption, and then progressively close down to become almost obliterated by abnormal dentin formation. Roots are short and thin. Both primary and permanent teeth are affected. DGI3 teeth typically manifest multiple periapical radiolucencies. DGI3 is not associated with osteogenesis imperfecta. {ECO:0000269|PubMed:15592686, ECO:0000269|PubMed:18521831, ECO:0000269|PubMed:23509818}. Note=The disease is caused by mutations affecting the gene represented in this entry. DSPP defects causing dentin abnormalities act in a dominant negative manner and include missense, splice-site, frameshift mutations. 5' frameshift mutations cause dentin dysplasia while frameshift mutations at the 3' end cause the more severe dentinogenesis imperfecta phenotype (PubMed:18521831 and PubMed:22392858).; DISEASE: Dentin dysplasia 2 (DTDP2) [MIM:125420]: A dental defect in which the deciduous teeth are opalescent. The permanent teeth are of normal shape, form, and color in most cases. The root length is normal. On radiographs, the pulp chambers of permanent teeth are obliterated, have a thistle-tube deformity and contain pulp stones. {ECO:0000269|PubMed:12354781, ECO:0000269|PubMed:18521831}. Note=The disease is caused by mutations affecting the gene represented in this entry. DSPP defects causing dentin abnormalities act in a dominant negative manner and include missense, splice-site, frameshift mutations. 5' frameshift mutations cause dentin dysplasia while frameshift mutations at the 3' end cause the more severe dentinogenesis imperfecta phenotype (PubMed:18521831, PubMed:22392858). {ECO:0000269|PubMed:18521831, ECO:0000269|PubMed:22392858}.; </t>
  </si>
  <si>
    <t xml:space="preserve">TGTGTGTG</t>
  </si>
  <si>
    <t xml:space="preserve">2082.02</t>
  </si>
  <si>
    <t xml:space="preserve">56</t>
  </si>
  <si>
    <t xml:space="preserve">0,28,28</t>
  </si>
  <si>
    <t xml:space="preserve">NM_001146055:c.*1275_*1274delCT;NM_001146054:c.*1275_*1274delCT;NM_007308:c.*1275_*1274delCT;NM_000345:c.*1275_*1274delCT;uc010ikt.4:c.*1275_*1274delCT;uc003hsq.3:c.*1275_*1274delCT;uc003hso.3:c.*1275_*1274delCT;uc031sgd.1:c.*1275_*1274delCT;uc003hsp.3:c.*1275_*1274delCT;uc031sgg.1:c.*1275_*1274delCT;uc031sgh.1:c.*1275_*1274delCT;uc003hsr.3:c.*1275_*1274delCT;uc031sgj.1:c.*1275_*1274delCT</t>
  </si>
  <si>
    <t xml:space="preserve">0.841962359247494</t>
  </si>
  <si>
    <t xml:space="preserve">synuclein alpha</t>
  </si>
  <si>
    <t xml:space="preserve">FUNCTION: May be involved in the regulation of dopamine release and transport. Induces fibrillization of microtubule-associated protein tau. Reduces neuronal responsiveness to various apoptotic stimuli, leading to a decreased caspase-3 activation.; </t>
  </si>
  <si>
    <t xml:space="preserve">DISEASE: Note=Genetic alterations of SNCA resulting in aberrant polymerization into fibrils, are associated with several neurodegenerative diseases (synucleinopathies). SNCA fibrillar aggregates represent the major non A-beta component of Alzheimer disease amyloid plaque, and a major component of Lewy body inclusions. They are also found within Lewy body (LB)-like intraneuronal inclusions, glial inclusions and axonal spheroids in neurodegeneration with brain iron accumulation type 1.; DISEASE: Parkinson disease 1 (PARK1) [MIM:168601]: A complex neurodegenerative disorder characterized by bradykinesia, resting tremor, muscular rigidity and postural instability. Additional features are characteristic postural abnormalities, dysautonomia, dystonic cramps, and dementia. The pathology of Parkinson disease involves the loss of dopaminergic neurons in the substantia nigra and the presence of Lewy bodies (intraneuronal accumulations of aggregated proteins), in surviving neurons in various areas of the brain. The disease is progressive and usually manifests after the age of 50 years, although early-onset cases (before 50 years) are known. The majority of the cases are sporadic suggesting a multifactorial etiology based on environmental and genetic factors. However, some patients present with a positive family history for the disease. Familial forms of the disease usually begin at earlier ages and are associated with atypical clinical features. {ECO:0000269|PubMed:23427326, ECO:0000269|PubMed:23457019, ECO:0000269|PubMed:24936070, ECO:0000269|PubMed:25561023, ECO:0000269|PubMed:9197268, ECO:0000269|PubMed:9462735}. Note=The disease is caused by mutations affecting the gene represented in this entry.; DISEASE: Parkinson disease 4 (PARK4) [MIM:605543]: A complex neurodegenerative disorder with manifestations ranging from typical Parkinson disease to dementia with Lewy bodies. Clinical features include parkinsonian symptoms (resting tremor, rigidity, postural instability and bradykinesia), dementia, diffuse Lewy body pathology, autonomic dysfunction, hallucinations and paranoia. Note=The disease is caused by mutations affecting the gene represented in this entry.; DISEASE: Dementia Lewy body (DLB) [MIM:127750]: A neurodegenerative disorder characterized by mental impairment leading to dementia, parkinsonism, fluctuating cognitive function, visual hallucinations, falls, syncopal episodes, and sensitivity to neuroleptic medication. Brainstem or cortical intraneuronal accumulations of aggregated proteins (Lewy bodies) are the only essential pathologic features. Patients may also have hippocampal and neocortical senile plaques, sometimes in sufficient number to fulfill the diagnostic criteria for Alzheimer disease. {ECO:0000269|PubMed:14755719}. Note=The disease is caused by mutations affecting the gene represented in this entry.; </t>
  </si>
  <si>
    <t xml:space="preserve">GAAGGAGGC</t>
  </si>
  <si>
    <t xml:space="preserve">31.60</t>
  </si>
  <si>
    <t xml:space="preserve">15,2</t>
  </si>
  <si>
    <t xml:space="preserve">1.14972215660264e-11</t>
  </si>
  <si>
    <t xml:space="preserve">mannosidase beta</t>
  </si>
  <si>
    <t xml:space="preserve">FUNCTION: Exoglycosidase that cleaves the single beta-linked mannose residue from the non-reducing end of all N-linked glycoprotein oligosaccharides.; </t>
  </si>
  <si>
    <t xml:space="preserve">DISEASE: Mannosidosis, beta A, lysosomal (MANSB) [MIM:248510]: An autosomal recessive lysosomal storage disease of glycoprotein catabolism. Clinical features are heterogeneous with a wide range of symptoms and age of onset. The disease is associated with a range of neurological involvement, including various degrees of mental retardation in most of the cases, hearing loss and speech impairment, hypotonia, epilepsy and peripheral neuropathy. Affected individuals have a profound reduction in beta A mannosidase activity in plasma, fibroblasts and leukocytes. {ECO:0000269|PubMed:9384606}. Note=The disease is caused by mutations affecting the gene represented in this entry.; </t>
  </si>
  <si>
    <t xml:space="preserve">184.64</t>
  </si>
  <si>
    <t xml:space="preserve">34,7</t>
  </si>
  <si>
    <t xml:space="preserve">330.64</t>
  </si>
  <si>
    <t xml:space="preserve">6,10</t>
  </si>
  <si>
    <t xml:space="preserve">0.0442294366134414</t>
  </si>
  <si>
    <t xml:space="preserve">LPS responsive beige-like anchor protein</t>
  </si>
  <si>
    <t xml:space="preserve">FUNCTION: May be involved in coupling signal transduction and vesicle trafficking to enable polarized secretion and/or membrane deposition of immune effector molecules. {ECO:0000250}.; </t>
  </si>
  <si>
    <t xml:space="preserve">DISEASE: Immunodeficiency, common variable, 8, with autoimmunity (CVID8) [MIM:614700]: An autosomal recessive immunologic disorder associated with defective B-cell differentiation and decreased or absent antibody production. Affected individuals have early- childhood onset of recurrent infections, particularly respiratory infections, and also develop variable autoimmune disorders, including idiopathic thrombocytopenic purpura, autoimmune hemolytic anemia, and inflammatory bowel disease. {ECO:0000269|PubMed:22608502}. Note=The disease is caused by mutations affecting the gene represented in this entry.; </t>
  </si>
  <si>
    <t xml:space="preserve">260.64</t>
  </si>
  <si>
    <t xml:space="preserve">18,10</t>
  </si>
  <si>
    <t xml:space="preserve">2.28513658245294e-05</t>
  </si>
  <si>
    <t xml:space="preserve">DEP domain containing 1B</t>
  </si>
  <si>
    <t xml:space="preserve">97.60</t>
  </si>
  <si>
    <t xml:space="preserve">118,22</t>
  </si>
  <si>
    <t xml:space="preserve">uc021ybg.1:c.*115_*116insA;uc021ybh.1:c.*115_*116insA;uc003kji.2:c.*115_*116insA;uc003kjj.3:c.*115_*116insA;uc003kjk.3:c.*115_*116insA;uc003kjl.3:c.*115_*116insA;uc003kjm.3:c.*115_*116insA</t>
  </si>
  <si>
    <t xml:space="preserve">0.00424617418418377</t>
  </si>
  <si>
    <t xml:space="preserve">myocyte enhancer factor 2C</t>
  </si>
  <si>
    <t xml:space="preserve">FUNCTION: Transcription activator which binds specifically to the MEF2 element present in the regulatory regions of many muscle- specific genes. Controls cardiac morphogenesis and myogenesis, and is also involved in vascular development. Plays an essential role in hippocampal-dependent learning and memory by suppressing the number of excitatory synapses and thus regulating basal and evoked synaptic transmission. Crucial for normal neuronal development, distribution, and electrical activity in the neocortex. Necessary for proper development of megakaryocytes and platelets and for bone marrow B-lymphopoiesis. Required for B-cell survival and proliferation in response to BCR stimulation, efficient IgG1 antibody responses to T-cell-dependent antigens and for normal induction of germinal center B-cells. May also be involved in neurogenesis and in the development of cortical architecture (By similarity). Isoform 3 and isoform 4, which lack the repressor domain, are more active than isoform 1 and isoform 2. {ECO:0000250, ECO:0000269|PubMed:11904443, ECO:0000269|PubMed:15340086, ECO:0000269|PubMed:15831463, ECO:0000269|PubMed:15834131, ECO:0000269|PubMed:9069290, ECO:0000269|PubMed:9384584}.; </t>
  </si>
  <si>
    <t xml:space="preserve">DISEASE: Mental retardation, autosomal dominant 20 (MRD20) [MIM:613443]: A disorder characterized by severe mental retardation, absent speech, hypotonia, poor eye contact and stereotypic movements. Dysmorphic features include high broad forehead with variable small chin, short nose with anteverted nares, large open mouth, upslanted palpebral fissures and prominent eyebrows. Some patients have seizures. {ECO:0000269|PubMed:19592390}. Note=The disease is caused by mutations affecting the gene represented in this entry.; </t>
  </si>
  <si>
    <t xml:space="preserve">152.64</t>
  </si>
  <si>
    <t xml:space="preserve">4,5</t>
  </si>
  <si>
    <t xml:space="preserve">adhesion G protein-coupled receptor V1</t>
  </si>
  <si>
    <t xml:space="preserve">FUNCTION: Receptor that may have an important role in the development of the central nervous system.; </t>
  </si>
  <si>
    <t xml:space="preserve">DISEASE: Usher syndrome 2C (USH2C) [MIM:605472]: USH is a genetically heterogeneous condition characterized by the association of retinitis pigmentosa with sensorineural deafness. Age at onset and differences in auditory and vestibular function distinguish Usher syndrome type 1 (USH1), Usher syndrome type 2 (USH2) and Usher syndrome type 3 (USH3). USH2 is characterized by congenital mild hearing impairment with normal vestibular responses. {ECO:0000269|PubMed:14740321, ECO:0000269|PubMed:22147658}. Note=The disease is caused by mutations affecting the gene represented in this entry.; DISEASE: Febrile seizures, familial, 4 (FEB4) [MIM:604352]: Seizures associated with febrile episodes in childhood without any evidence of intracranial infection or defined pathologic or traumatic cause. It is a common condition, affecting 2-5% of children aged 3 months to 5 years. The majority are simple febrile seizures (generally defined as generalized onset, single seizures with a duration of less than 30 minutes). Complex febrile seizures are characterized by focal onset, duration greater than 30 minutes, and/or more than one seizure in a 24 hour period. The likelihood of developing epilepsy following simple febrile seizures is low. Complex febrile seizures are associated with a moderately increased incidence of epilepsy. Note=The disease may be caused by mutations affecting the gene represented in this entry.; </t>
  </si>
  <si>
    <t xml:space="preserve">989.02</t>
  </si>
  <si>
    <t xml:space="preserve">3,37,13</t>
  </si>
  <si>
    <t xml:space="preserve">0.0896398214145992</t>
  </si>
  <si>
    <t xml:space="preserve">proprotein convertase subtilisin/kexin type 1</t>
  </si>
  <si>
    <t xml:space="preserve">FUNCTION: Involved in the processing of hormone and other protein precursors at sites comprised of pairs of basic amino acid residues. Substrates include POMC, renin, enkephalin, dynorphin, somatostatin, insulin and AGRP. {ECO:0000250|UniProtKB:P63239}.; </t>
  </si>
  <si>
    <t xml:space="preserve">DISEASE: Proprotein convertase 1 deficiency (PC1 deficiency) [MIM:600955]: Characterized by obesity, hypogonadism, hypoadrenalism, reactive hypoglycemia as well as marked small- intestinal absorptive dysfunction It is due to impaired processing of prohormones. {ECO:0000269|PubMed:14617756, ECO:0000269|PubMed:17595246, ECO:0000269|PubMed:9207799}. Note=The disease is caused by mutations affecting the gene represented in this entry.; </t>
  </si>
  <si>
    <t xml:space="preserve">723.64</t>
  </si>
  <si>
    <t xml:space="preserve">21,24</t>
  </si>
  <si>
    <t xml:space="preserve">0.088562272207543</t>
  </si>
  <si>
    <t xml:space="preserve">acyl-CoA synthetase long-chain family member 6</t>
  </si>
  <si>
    <t xml:space="preserve">FUNCTION: Activation of long-chain fatty acids for both synthesis of cellular lipids, and degradation via beta-oxidation. Plays an important role in fatty acid metabolism in brain and the acyl-CoAs produced may be utilized exclusively for the synthesis of the brain lipid.; </t>
  </si>
  <si>
    <t xml:space="preserve">DISEASE: Note=A chromosomal aberration involving ACSL6 may be a cause of myelodysplastic syndrome with basophilia. Translocation t(5;12)(q31;p13) with ETV6. {ECO:0000269|PubMed:10502316}.; DISEASE: Note=A chromosomal aberration involving ACSL6 may be a cause of acute myelogenous leukemia with eosinophilia. Translocation t(5;12)(q31;p13) with ETV6. {ECO:0000269|PubMed:10502316}.; DISEASE: Note=A chromosomal aberration involving ACSL6 may be a cause of acute eosinophilic leukemia (AEL). Translocation t(5;12)(q31;p13) with ETV6. {ECO:0000269|PubMed:10502316}.; </t>
  </si>
  <si>
    <t xml:space="preserve">457.64</t>
  </si>
  <si>
    <t xml:space="preserve">19,16</t>
  </si>
  <si>
    <t xml:space="preserve">0.999997450786603</t>
  </si>
  <si>
    <t xml:space="preserve">AF4/FMR2 family member 4</t>
  </si>
  <si>
    <t xml:space="preserve">FUNCTION: Key component of the super elongation complex (SEC), a complex required to increase the catalytic rate of RNA polymerase II transcription by suppressing transient pausing by the polymerase at multiple sites along the DNA. In the SEC complex, AFF4 acts as a central scaffold that recruits other factors through direct interactions with ELL proteins (ELL, ELL2 or ELL3) and the P-TEFb complex. In case of infection by HIV-1 virus, the SEC complex is recruited by the viral Tat protein to stimulate viral gene expression. {ECO:0000269|PubMed:20159561, ECO:0000269|PubMed:20471948, ECO:0000269|PubMed:23251033}.; </t>
  </si>
  <si>
    <t xml:space="preserve">DISEASE: Note=A chromosomal aberration involving AFF4 is found in acute lymphoblastic leukemia (ALL). Insertion ins(5;11)(q31;q13q23) that forms a KMT2A/MLL1-AFF4 fusion protein.; DISEASE: CHOPS syndrome (CHOPS) [MIM:616368]: A syndrome characterized by cognitive impairment, coarse facies, heart defects, obesity, pulmonary involvement, short stature, and skeletal dysplasia. {ECO:0000269|PubMed:25730767}. Note=The disease is caused by mutations affecting the gene represented in this entry.; </t>
  </si>
  <si>
    <t xml:space="preserve">122.60</t>
  </si>
  <si>
    <t xml:space="preserve">40,10</t>
  </si>
  <si>
    <t xml:space="preserve">stoploss</t>
  </si>
  <si>
    <t xml:space="preserve">ARL10:NM_001317948:exon3:c.820dupT:p.*277delinsLRQSLVLSPRLECSGVISAHCNLHLPGSSNSCASAFRVAGITGMCHHTQPIFVFLVEVEFCHVGQAGLELLTSSDPPASASQSAGIIGMSHCVWPPGVVLNNISSYASVDPIKYGMLFPFYRWDRLVL*;ARL10:uc003meb.3:exon3:c.820dupT:p.*277delinsLRQSLVLSPRLECSGVISAHCNLHLPGSSNSCASAFRVAGITGMCHHTQPIFVFLVEVEFCHVGQAGLELLTSSDPPASASQSAGIIGMSHCVWPPGVVLNNISSYASVDPIKYGMLFPFYRWDRLVL*</t>
  </si>
  <si>
    <t xml:space="preserve">4.90395449664771e-05</t>
  </si>
  <si>
    <t xml:space="preserve">ADP ribosylation factor like GTPase 10</t>
  </si>
  <si>
    <t xml:space="preserve">306.64</t>
  </si>
  <si>
    <t xml:space="preserve">4.34413935048992e-11</t>
  </si>
  <si>
    <t xml:space="preserve">synaptonemal complex protein 2 like</t>
  </si>
  <si>
    <t xml:space="preserve">AAA</t>
  </si>
  <si>
    <t xml:space="preserve">1388.02</t>
  </si>
  <si>
    <t xml:space="preserve">6,15,32</t>
  </si>
  <si>
    <t xml:space="preserve">NM_001278209:exon18:c.2558-2-&gt;TTT;NM_001278210:exon16:c.2339-2-&gt;TTT;NM_005124:exon17:c.2465-2-&gt;TTT;uc011dje.2:exon18:c.2558-2-&gt;TTT;uc003ncd.2:exon17:c.2465-2-&gt;TTT;uc010jpl.2:exon16:c.2339-2-&gt;TTT;ENST00000262077:exon17:c.2465-2-&gt;TTT;ENST00000537253:exon18:c.2558-2-&gt;TTT</t>
  </si>
  <si>
    <t xml:space="preserve">0.999994457328352</t>
  </si>
  <si>
    <t xml:space="preserve">nucleoporin 153kDa</t>
  </si>
  <si>
    <t xml:space="preserve">FUNCTION: Component of the nuclear pore complex (NPC), a complex required for the trafficking across the nuclear envelope. Functions as a scaffolding element in the nuclear phase of the NPC essential for normal nucleocytoplasmic transport of proteins and mRNAs. Involved in the quality control and retention of unspliced mRNAs in the nucleus; in association with TPR, regulates the nuclear export of unspliced mRNA species bearing constitutive transport element (CTE) in a NXF1- and KHDRBS1-independent manner. Mediates TPR anchoring to the nuclear membrane at NPC. The repeat- containing domain may be involved in anchoring other components of the NPC to the pore membrane. Possible DNA-binding subunit of the nuclear pore complex (NPC). {ECO:0000269|PubMed:12802065, ECO:0000269|PubMed:15229283, ECO:0000269|PubMed:22253824}.; </t>
  </si>
  <si>
    <t xml:space="preserve">417.64</t>
  </si>
  <si>
    <t xml:space="preserve">5,12</t>
  </si>
  <si>
    <t xml:space="preserve">0.815087936736707</t>
  </si>
  <si>
    <t xml:space="preserve">lysine demethylase 1B</t>
  </si>
  <si>
    <t xml:space="preserve">FUNCTION: Histone demethylase that demethylates 'Lys-4' of histone H3, a specific tag for epigenetic transcriptional activation, thereby acting as a corepressor. Required for de novo DNA methylation of a subset of imprinted genes during oogenesis. Acts by oxidizing the substrate by FAD to generate the corresponding imine that is subsequently hydrolyzed. Demethylates both mono- and di-methylated 'Lys-4' of histone H3. Has no effect on tri- methylated 'Lys-4', mono-, di- or tri-methylated 'Lys-9', mono-, di- or tri-methylated 'Lys-27', mono-, di- or tri-methylated 'Lys- 36' of histone H3, or on mono-, di- or tri-methylated 'Lys-20' of histone H4 (By similarity). {ECO:0000250}.; </t>
  </si>
  <si>
    <t xml:space="preserve">348.64</t>
  </si>
  <si>
    <t xml:space="preserve">7,12</t>
  </si>
  <si>
    <t xml:space="preserve">8.84450886798244e-07</t>
  </si>
  <si>
    <t xml:space="preserve">membrane bound O-acyltransferase domain containing 1</t>
  </si>
  <si>
    <t xml:space="preserve">FUNCTION: Acyltransferase which mediates the conversion of lysophosphatidylserine (1-acyl-2-hydroxy-sn-glycero-3-phospho-L- serine or LPS) into phosphatidylserine (1,2-diacyl-sn-glycero-3- phospho-L-serine or PS) (LPSAT activity). Prefers oleoyl-CoA as the acyl donor. Lysophospholipid acyltransferases (LPLATs) catalyze the reacylation step of the phospholipid remodeling pathway also known as the Lands cycle. {ECO:0000269|PubMed:18772128}.; </t>
  </si>
  <si>
    <t xml:space="preserve">608.64</t>
  </si>
  <si>
    <t xml:space="preserve">37,24</t>
  </si>
  <si>
    <t xml:space="preserve">uc011dnd.2:exon10:c.179-1G&gt;A</t>
  </si>
  <si>
    <t xml:space="preserve">4.21949935405234e-14</t>
  </si>
  <si>
    <t xml:space="preserve">valyl-tRNA synthetase 2, mitochondrial</t>
  </si>
  <si>
    <t xml:space="preserve">DISEASE: Combined oxidative phosphorylation deficiency 20 (COXPD20) [MIM:615917]: A disorder due to mitochondrial respiratory chain complex defects. Clinical features are variable and include muscle weakness with hypotonia, central neurological disease with progressive external ophthalmoplegia, ptosis and ataxia, delayed psychomotor development, cardiomyopathy, abnormal liver function, facial dysmorphism, microcephaly and epilepsy. {ECO:0000269|PubMed:24827421, ECO:0000269|PubMed:25058219}. Note=The disease is caused by mutations affecting the gene represented in this entry.; </t>
  </si>
  <si>
    <t xml:space="preserve">MHC</t>
  </si>
  <si>
    <t xml:space="preserve">3486.60</t>
  </si>
  <si>
    <t xml:space="preserve">241</t>
  </si>
  <si>
    <t xml:space="preserve">143,98</t>
  </si>
  <si>
    <t xml:space="preserve">MUC21:NM_001010909:exon2:c.741_742insGTGT:p.P248Vfs*13;MUC21:uc021yuf.1:exon1:c.693_694insGTGT:p.P232Vfs*13,MUC21:uc003nsh.2:exon2:c.741_742insGTGT:p.P248Vfs*13;ENSG00000204544:ENST00000376296:exon2:c.741_742insGTGT:p.P248Vfs*13</t>
  </si>
  <si>
    <t xml:space="preserve">0.331419151101163</t>
  </si>
  <si>
    <t xml:space="preserve">mucin 21, cell surface associated</t>
  </si>
  <si>
    <t xml:space="preserve">CAGTGGGGCCAGCACTGCCACCAACTCTGAGTCCAGCACGA</t>
  </si>
  <si>
    <t xml:space="preserve">3625.60</t>
  </si>
  <si>
    <t xml:space="preserve">243</t>
  </si>
  <si>
    <t xml:space="preserve">142,101</t>
  </si>
  <si>
    <t xml:space="preserve">MUC21:NM_001010909:exon2:c.742_743insCAGTGGGGCCAGCACTGCCACCAACTCTGAGTCCAGCACGA:p.S249Vfs*208;MUC21:uc021yuf.1:exon1:c.694_695insCAGTGGGGCCAGCACTGCCACCAACTCTGAGTCCAGCACGA:p.S233Vfs*208,MUC21:uc003nsh.2:exon2:c.742_743insCAGTGGGGCCAGCACTGCCACCAACTCTGAGTCCAGCACGA:p.S249Vfs*208;ENSG00000204544:ENST00000376296:exon2:c.742_743insCAGTGGGGCCAGCACTGCCACCAACTCTGAGTCCAGCACGA:p.S249Vfs*208</t>
  </si>
  <si>
    <t xml:space="preserve">24,6</t>
  </si>
  <si>
    <t xml:space="preserve">HLA-DQA1:uc003obt.1:exon3:c.736dupT:p.*249delinsLKE*</t>
  </si>
  <si>
    <t xml:space="preserve">0.166625329932453</t>
  </si>
  <si>
    <t xml:space="preserve">major histocompatibility complex, class II, DQ alpha 1</t>
  </si>
  <si>
    <t xml:space="preserve">FUNCTION: Binds peptides derived from antigens that access the endocytic route of antigen presenting cells (APC) and presents them on the cell surface for recognition by the CD4 T-cells. The peptide binding cleft accommodates peptides of 10-30 residues. The peptides presented by MHC class II molecules are generated mostly by degradation of proteins that access the endocytic route, where they are processed by lysosomal proteases and other hydrolases. Exogenous antigens that have been endocytosed by the APC are thus readily available for presentation via MHC II molecules, and for this reason this antigen presentation pathway is usually referred to as exogenous. As membrane proteins on their way to degradation in lysosomes as part of their normal turn-over are also contained in the endosomal/lysosomal compartments, exogenous antigens must compete with those derived from endogenous components. Autophagy is also a source of endogenous peptides, autophagosomes constitutively fuse with MHC class II loading compartments. In addition to APCs, other cells of the gastrointestinal tract, such as epithelial cells, express MHC class II molecules and CD74 and act as APCs, which is an unusual trait of the GI tract. To produce a MHC class II molecule that presents an antigen, three MHC class II molecules (heterodimers of an alpha and a beta chain) associate with a CD74 trimer in the ER to form a heterononamer. Soon after the entry of this complex into the endosomal/lysosomal system where antigen processing occurs, CD74 undergoes a sequential degradation by various proteases, including CTSS and CTSL, leaving a small fragment termed CLIP (class-II-associated invariant chain peptide). The removal of CLIP is facilitated by HLA-DM via direct binding to the alpha-beta-CLIP complex so that CLIP is released. HLA-DM stabilizes MHC class II molecules until primary high affinity antigenic peptides are bound. The MHC II molecule bound to a peptide is then transported to the cell membrane surface. In B-cells, the interaction between HLA-DM and MHC class II molecules is regulated by HLA-DO. Primary dendritic cells (DCs) also to express HLA-DO. Lysosomal microenvironment has been implicated in the regulation of antigen loading into MHC II molecules, increased acidification produces increased proteolysis and efficient peptide loading.; </t>
  </si>
  <si>
    <t xml:space="preserve">34</t>
  </si>
  <si>
    <t xml:space="preserve">15,19</t>
  </si>
  <si>
    <t xml:space="preserve">0.999998449747972</t>
  </si>
  <si>
    <t xml:space="preserve">synaptic Ras GTPase activating protein 1</t>
  </si>
  <si>
    <t xml:space="preserve">FUNCTION: Major constituent of the PSD essential for postsynaptic signaling. Inhibitory regulator of the Ras-cAMP pathway. Member of the NMDAR signaling complex in excitatory synapses, it may play a role in NMDAR-dependent control of AMPAR potentiation, AMPAR membrane trafficking and synaptic plasticity. Regulates AMPAR- mediated miniature excitatory postsynaptic currents. Exhibits dual GTPase-activating specificity for Ras and Rap. May be involved in certain forms of brain injury, leading to long-term learning and memory deficits (By similarity). {ECO:0000250}.; </t>
  </si>
  <si>
    <t xml:space="preserve">DISEASE: Mental retardation, autosomal dominant 5 (MRD5) [MIM:612621]: A disorder characterized by significantly below average general intellectual functioning associated with impairments in adaptive behavior and manifested during the developmental period. MRD5 patients show global developmental delay with delayed motor development, hypotonia, moderate-to- severe mental retardation, and severe language impairment. Epilepsy and autism can be present in some patients. {ECO:0000269|PubMed:19196676, ECO:0000269|PubMed:21076407, ECO:0000269|PubMed:21237447, ECO:0000269|PubMed:23161826}. Note=The disease is caused by mutations affecting the gene represented in this entry.; </t>
  </si>
  <si>
    <t xml:space="preserve">1525.64</t>
  </si>
  <si>
    <t xml:space="preserve">70,60</t>
  </si>
  <si>
    <t xml:space="preserve">4.97536705049387e-12</t>
  </si>
  <si>
    <t xml:space="preserve">inositol 1,4,5-trisphosphate receptor type 3</t>
  </si>
  <si>
    <t xml:space="preserve">FUNCTION: Receptor for inositol 1,4,5-trisphosphate, a second messenger that mediates the release of intracellular calcium.; </t>
  </si>
  <si>
    <t xml:space="preserve">992.64</t>
  </si>
  <si>
    <t xml:space="preserve">79</t>
  </si>
  <si>
    <t xml:space="preserve">38,41</t>
  </si>
  <si>
    <t xml:space="preserve">0.635116132508035</t>
  </si>
  <si>
    <t xml:space="preserve">leucine rich repeat containing 73</t>
  </si>
  <si>
    <t xml:space="preserve">244.64</t>
  </si>
  <si>
    <t xml:space="preserve">6,9</t>
  </si>
  <si>
    <t xml:space="preserve">0.466342861502279</t>
  </si>
  <si>
    <t xml:space="preserve">sorting nexin 3</t>
  </si>
  <si>
    <t xml:space="preserve">FUNCTION: Phosphoinositide-binding protein required for multivesicular body formation. Specifically binds phosphatidylinositol 3-phosphate (PtdIns(P3)). Also can bind phosphatidylinositol 4-phosphate (PtdIns(P4)), phosphatidylinositol 5-phosphate (PtdIns(P5)) and phosphatidylinositol 3,5-biphosphate (PtdIns(3,5)P2) (By similarity). Plays a role in protein transport between cellular compartments. Together with RAB7A facilitates endosome membrane association of the retromer cargo-selective subcomplex (CSC/VPS). May in part act as component of the SNX3-retromer complex which mediates the retrograde endosome-to-TGN transport of WLS distinct from the SNX-BAR retromer pathway (PubMed:21725319, PubMed:24344282). Promotes stability and cell surface expression of epithelial sodium channel (ENAC) subunits SCNN1A and SCNN1G (By similarity). Not involved in EGFR degradation. Involved in the regulation of phagocytosis in dendritic cells possibly by regulating EEA1 recruitment to the nascent phagosomes (PubMed:23237080). Involved in iron homeostasis through regulation of endocytic recycling of the transferrin receptor TFRC presumably by delivering the tranferrin:transferrin receptor complex to recycling endosomes; the function may involve the CSC retromer subcomplex (By similarity). In the case of Salmonella enterica infection plays arole in maturation of the Salmonella-containing vacuole (SCV) and promotes recruitment of LAMP1 to SCVs (PubMed:20482551). {ECO:0000250|UniProtKB:O70492, ECO:0000269|PubMed:11433298, ECO:0000269|PubMed:18767904, ECO:0000269|PubMed:21725319, ECO:0000269|PubMed:23237080, ECO:0000269|PubMed:24344282, ECO:0000305|PubMed:21725319}.; </t>
  </si>
  <si>
    <t xml:space="preserve">DISEASE: Microphthalmia, syndromic, 8 (MCOPS8) [MIM:601349]: A very rare congenital syndrome characterized by microcephaly, microphthalmia, ectrodactyly of the lower limbs and prognathism. Intellectual deficit has been reported. Microphthalmia is a disorder of eye formation, ranging from small size of a single eye to complete bilateral absence of ocular tissues (anophthalmia). In many cases, microphthalmia/anophthalmia occurs in association with syndromes that include non-ocular abnormalities. {ECO:0000269|PubMed:12471201}. Note=The gene represented in this entry may be involved in disease pathogenesis. A chromosomal aberration involving SNX3 has been found in patients with syndromic microphthalmia. Translocation t(6;13)(q21;q12).; </t>
  </si>
  <si>
    <t xml:space="preserve">58.04</t>
  </si>
  <si>
    <t xml:space="preserve">7.09554971028093e-12</t>
  </si>
  <si>
    <t xml:space="preserve">adenylate kinase 9</t>
  </si>
  <si>
    <t xml:space="preserve">FUNCTION: Involved in maintaining the homeostasis of cellular nucleotides by catalyzing the interconversion of nucleoside phosphates. Has both nucleoside monophosphate and diphosphate kinase activities. Catalyzes the phosphorylation of AMP, dAMP, CMP and dCMP with ATP as phosphate donor and of CMP with GTP as phosphate donor. Also catalyzes the production of ATP, CTP, GTP, UTP, dATP, dCTP, dGTP and TTP from the corresponding diphosphate substrates with either ATP or GTP as phosphate donor. Shows substrate preference of CDP &gt; UDP &gt; ADP &gt; GDP &gt; TDP. {ECO:0000269|PubMed:23416111}.; </t>
  </si>
  <si>
    <t xml:space="preserve">77.60</t>
  </si>
  <si>
    <t xml:space="preserve">18,4</t>
  </si>
  <si>
    <t xml:space="preserve">dist=6480;dist=50268</t>
  </si>
  <si>
    <t xml:space="preserve">0.0219840797762706</t>
  </si>
  <si>
    <t xml:space="preserve">golgi-associated PDZ and coiled-coil motif containing</t>
  </si>
  <si>
    <t xml:space="preserve">FUNCTION: Plays a role in intracellular protein trafficking and degradation. May regulate CFTR chloride currents and acid-induced ASIC3 currents by modulating cell surface expression of both channels. May also regulate the intracellular trafficking of the ADR1B receptor. May play a role in autophagy. Overexpression results in CFTR intracellular retention and degradation in the lysosomes. {ECO:0000269|PubMed:11707463, ECO:0000269|PubMed:14570915, ECO:0000269|PubMed:15358775}.; </t>
  </si>
  <si>
    <t xml:space="preserve">DISEASE: Note=A chromosomal aberration involving GOPC is found in a glioblastoma multiforme sample. An intra-chromosomal deletion del(6)(q21q21) is responsible for the formation of GOPC-ROS1 chimeric protein which has a constitutive receptor tyrosine kinase activity. {ECO:0000269|PubMed:12661006}.; </t>
  </si>
  <si>
    <t xml:space="preserve">408.64</t>
  </si>
  <si>
    <t xml:space="preserve">12,13</t>
  </si>
  <si>
    <t xml:space="preserve">1.1846527263111e-24</t>
  </si>
  <si>
    <t xml:space="preserve">laminin subunit alpha 2</t>
  </si>
  <si>
    <t xml:space="preserve">DISEASE: Merosin-deficient congenital muscular dystrophy 1A (MDC1A) [MIM:607855]: Characterized by difficulty walking, hypotonia, proximal weakness, hyporeflexia, and white matter hypodensity on MRI. {ECO:0000269|PubMed:11591858, ECO:0000269|PubMed:12552556}. Note=The disease is caused by mutations affecting the gene represented in this entry.; </t>
  </si>
  <si>
    <t xml:space="preserve">135.26</t>
  </si>
  <si>
    <t xml:space="preserve">0,2,4</t>
  </si>
  <si>
    <t xml:space="preserve">NM_003630:c.*319A&gt;0;uc003qjl.3:c.*319A&gt;0</t>
  </si>
  <si>
    <t xml:space="preserve">809.64</t>
  </si>
  <si>
    <t xml:space="preserve">28,34</t>
  </si>
  <si>
    <t xml:space="preserve">UTR5;intronic;ncRNA_intronic</t>
  </si>
  <si>
    <t xml:space="preserve">ENST00000539504:c.-19T&gt;A;ENST00000354674:c.-19T&gt;A</t>
  </si>
  <si>
    <t xml:space="preserve">3.75068139299055e-27</t>
  </si>
  <si>
    <t xml:space="preserve">microRNA 3163;spectrin repeat containing, nuclear envelope 1</t>
  </si>
  <si>
    <t xml:space="preserve">FUNCTION: Multi-isomeric modular protein which forms a linking network between organelles and the actin cytoskeleton to maintain the subcellular spatial organization. Component of SUN-protein- containing multivariate complexes also called LINC complexes which link the nucleoskeleton and cytoskeleton by providing versatile outer nuclear membrane attachment sites for cytoskeletal filaments. May be involved in the maintenance of nuclear organization and structural integrity. Connects nuclei to the cytoskeleton by interacting with the nuclear envelope and with F- actin in the cytoplasm. May be required for centrosome migration to the apical cell surface during early ciliogenesis. {ECO:0000269|PubMed:11792814, ECO:0000269|PubMed:18396275}.; </t>
  </si>
  <si>
    <t xml:space="preserve">DISEASE: Spinocerebellar ataxia, autosomal recessive, 8 (SCAR8) [MIM:610743]: Spinocerebellar ataxia is a clinically and genetically heterogeneous group of cerebellar disorders. Patients show progressive incoordination of gait and often poor coordination of hands, speech and eye movements, due to degeneration of the cerebellum with variable involvement of the brainstem and spinal cord. SCAR8 is an autosomal recessive form. {ECO:0000269|PubMed:17159980}. Note=The disease is caused by mutations affecting the gene represented in this entry.; DISEASE: Emery-Dreifuss muscular dystrophy 4, autosomal dominant (EDMD4) [MIM:612998]: A form of Emery-Dreifuss muscular dystrophy, a degenerative myopathy characterized by weakness and atrophy of muscle without involvement of the nervous system, early contractures of the elbows, Achilles tendons and spine, and cardiomyopathy associated with cardiac conduction defects. {ECO:0000269|PubMed:17761684}. Note=The disease is caused by mutations affecting the gene represented in this entry.; </t>
  </si>
  <si>
    <t xml:space="preserve">669.02</t>
  </si>
  <si>
    <t xml:space="preserve">9,18,18</t>
  </si>
  <si>
    <t xml:space="preserve">TNRC18:uc003sok.1:exon3:c.389delT:p.*131delinsETGSHYVAQAGVQWCDHRSLQPQTPK*;ENSG00000182095:ENST00000399434:exon3:c.389delT:p.*131delinsETGSHYVAQAGVQWCDHRSLQPQTPK*</t>
  </si>
  <si>
    <t xml:space="preserve">0.999973965663352</t>
  </si>
  <si>
    <t xml:space="preserve">trinucleotide repeat containing 18</t>
  </si>
  <si>
    <t xml:space="preserve">AGCAGC</t>
  </si>
  <si>
    <t xml:space="preserve">1805.02</t>
  </si>
  <si>
    <t xml:space="preserve">0,25,21</t>
  </si>
  <si>
    <t xml:space="preserve">UTR5;intronic;splicing</t>
  </si>
  <si>
    <t xml:space="preserve">uc011jxf.2:c.-58_-53del-</t>
  </si>
  <si>
    <t xml:space="preserve">UBAP1-MVB12-associated (UMA) domain containing 1</t>
  </si>
  <si>
    <t xml:space="preserve">998.64</t>
  </si>
  <si>
    <t xml:space="preserve">35,46</t>
  </si>
  <si>
    <t xml:space="preserve">von Willebrand factor D and EGF domains</t>
  </si>
  <si>
    <t xml:space="preserve">946.02</t>
  </si>
  <si>
    <t xml:space="preserve">5,27,13</t>
  </si>
  <si>
    <t xml:space="preserve">NM_001101426:c.*3274_*3275insA;NM_001368197:c.*3274_*3275insA;NM_001101417:c.*3274_*3275insA;uc010ktx.2:c.*3274_*3275insA;uc010kty.2:c.*3274_*3275insA</t>
  </si>
  <si>
    <t xml:space="preserve">0.00243660167412645</t>
  </si>
  <si>
    <t xml:space="preserve">isoprenoid synthase domain containing</t>
  </si>
  <si>
    <t xml:space="preserve">FUNCTION: Required for protein O-linked mannosylation. Probably acts as a nucleotidyltransferase involved in synthesis of a nucleotide sugar. Required for dystroglycan O-mannosylation. {ECO:0000269|PubMed:22522420, ECO:0000269|PubMed:22522421}.; </t>
  </si>
  <si>
    <t xml:space="preserve">DISEASE: Muscular dystrophy-dystroglycanopathy limb-girdle C7 (MDDGC7) [MIM:616052]: A form of muscular dystrophy resulting from defective glycosylation of alpha-dystroglycan, and characterized by a limb-girdle phenotype with muscular weakness apparent after ambulation is achieved. MDDGC7 individuals do not show epilepsy, mental retardation, structural eye/brain abnormalities, or white matter changes. {ECO:0000269|PubMed:23390185}. Note=The disease is caused by mutations affecting the gene represented in this entry.; </t>
  </si>
  <si>
    <t xml:space="preserve">265.64</t>
  </si>
  <si>
    <t xml:space="preserve">7,7</t>
  </si>
  <si>
    <t xml:space="preserve">1.16623512959537e-23</t>
  </si>
  <si>
    <t xml:space="preserve">ATP binding cassette subfamily B member 5</t>
  </si>
  <si>
    <t xml:space="preserve">FUNCTION: Drug efflux transporter present in a number of stem cells that acts as a regulator of cellular differentiation. Able to mediate efflux from cells of the rhodamine dye and of the therapeutic drug doxorubicin. Specifically present in limbal stem cells, where it plays a key role in corneal development and repair. {ECO:0000269|PubMed:12960149, ECO:0000269|PubMed:15205344, ECO:0000269|PubMed:15899824, ECO:0000269|PubMed:22306008}.; </t>
  </si>
  <si>
    <t xml:space="preserve">6,4</t>
  </si>
  <si>
    <t xml:space="preserve">dynein axonemal heavy chain 11</t>
  </si>
  <si>
    <t xml:space="preserve">FUNCTION: Force generating protein of respiratory cilia. Produces force towards the minus ends of microtubules. Dynein has ATPase activity; the force-producing power stroke is thought to occur on release of ADP.; </t>
  </si>
  <si>
    <t xml:space="preserve">DISEASE: Kartagener syndrome (KTGS) [MIM:244400]: An autosomal recessive disorder characterized by the association of primary ciliary dyskinesia with situs inversus. Clinical features include recurrent respiratory infections, bronchiectasis, infertility, and lateral transposition of the viscera of the thorax and abdomen. The situs inversus is most often total, although it can be partial in some cases (isolated dextrocardia or isolated transposition of abdominal viscera). {ECO:0000269|PubMed:12142464, ECO:0000269|PubMed:18022865, ECO:0000269|PubMed:25186273}. Note=The disease is caused by mutations affecting the gene represented in this entry.; DISEASE: Ciliary dyskinesia, primary, 7 (CILD7) [MIM:611884]: A disorder characterized by abnormalities of motile cilia. Respiratory infections leading to chronic inflammation and bronchiectasis are recurrent, due to defects in the respiratory cilia; reduced fertility is often observed in male patients due to abnormalities of sperm tails. Half of the patients exhibit randomization of left-right body asymmetry and situs inversus, due to dysfunction of monocilia at the embryonic node. Primary ciliary dyskinesia associated with situs inversus is referred to as Kartagener syndrome. {ECO:0000269|PubMed:12142464, ECO:0000269|PubMed:18022865}. Note=The disease is caused by mutations affecting the gene represented in this entry.; </t>
  </si>
  <si>
    <t xml:space="preserve">815.64</t>
  </si>
  <si>
    <t xml:space="preserve">77</t>
  </si>
  <si>
    <t xml:space="preserve">38,39</t>
  </si>
  <si>
    <t xml:space="preserve">UTR3;intronic</t>
  </si>
  <si>
    <t xml:space="preserve">NM_001294255:c.*32A&gt;G</t>
  </si>
  <si>
    <t xml:space="preserve">0.143727833114872</t>
  </si>
  <si>
    <t xml:space="preserve">zinc finger protein 736</t>
  </si>
  <si>
    <t xml:space="preserve">66.60</t>
  </si>
  <si>
    <t xml:space="preserve">9,4</t>
  </si>
  <si>
    <t xml:space="preserve">1;1;1;1</t>
  </si>
  <si>
    <t xml:space="preserve">0.13060063873413</t>
  </si>
  <si>
    <t xml:space="preserve">FK506 binding protein 6;general transcription factor IIi pseudogene 1;general transcription factor IIi pseudogene 4</t>
  </si>
  <si>
    <t xml:space="preserve">FUNCTION: Co-chaperone required during spermatogenesis to repress transposable elements and prevent their mobilization, which is essential for the germline integrity. Acts via the piRNA metabolic process, which mediates the repression of transposable elements during meiosis by forming complexes composed of piRNAs and Piwi proteins and govern the methylation and subsequent repression of transposons. Acts as a co-chaperone via its interaction with HSP90 and is required for the piRNA amplification process, the secondary piRNA biogenesis. May be required together with HSP90 in removal of 16 nucleotide ping-pong by-products from Piwi complexes, possibly facilitating turnover of Piwi complexes (By similarity). {ECO:0000250}.; </t>
  </si>
  <si>
    <t xml:space="preserve">DISEASE: Note=Defects in FKBP6 may be a cause of azoospermia. A study based on 323 patients with azoospermia or severe oligozoospermia suggested an association between FKBP6 variants and azoospermia (PubMed:17307919). However, other studies suggest that defects in FKBP6 are not a common cause of non-obstructive azoospermia (PubMed:16227348). {ECO:0000269|PubMed:16227348, ECO:0000269|PubMed:17307919}.; </t>
  </si>
  <si>
    <t xml:space="preserve">169.08</t>
  </si>
  <si>
    <t xml:space="preserve">2,7,4</t>
  </si>
  <si>
    <t xml:space="preserve">0.999999999999998</t>
  </si>
  <si>
    <t xml:space="preserve">reelin</t>
  </si>
  <si>
    <t xml:space="preserve">FUNCTION: Extracellular matrix serine protease that plays a role in layering of neurons in the cerebral cortex and cerebellum. Regulates microtubule function in neurons and neuronal migration. Affects migration of sympathetic preganglionic neurons in the spinal cord, where it seems to act as a barrier to neuronal migration. Enzymatic activity is important for the modulation of cell adhesion. Binding to the extracellular domains of lipoprotein receptors VLDLR and LRP8/APOER2 induces tyrosine phosphorylation of DAB1 and modulation of TAU phosphorylation (By similarity). {ECO:0000250}.; </t>
  </si>
  <si>
    <t xml:space="preserve">DISEASE: Lissencephaly 2 (LIS2) [MIM:257320]: A classic type lissencephaly associated with ataxia, mental retardation, seizures and abnormalities of the cerebellum, hippocampus and brainstem. {ECO:0000269|PubMed:10973257}. Note=The disease is caused by mutations affecting the gene represented in this entry.; DISEASE: Epilepsy, familial temporal lobe, 7 (ETL7) [MIM:616436]: A focal form of epilepsy characterized by recurrent seizures that arise from foci within the temporal lobe. Seizures are usually accompanied by sensory symptoms, most often auditory in nature. {ECO:0000269|PubMed:26046367}. Note=The disease is caused by mutations affecting the gene represented in this entry.; </t>
  </si>
  <si>
    <t xml:space="preserve">CACACACACACACACA</t>
  </si>
  <si>
    <t xml:space="preserve">185.60</t>
  </si>
  <si>
    <t xml:space="preserve">34,10</t>
  </si>
  <si>
    <t xml:space="preserve">MET:uc011knb.1:exon4:c.1744_1745del:p.F586Lfs*11</t>
  </si>
  <si>
    <t xml:space="preserve">0.996412863765497</t>
  </si>
  <si>
    <t xml:space="preserve">MET proto-oncogene, receptor tyrosine kinase</t>
  </si>
  <si>
    <t xml:space="preserve">FUNCTION: Receptor tyrosine kinase that transduces signals from the extracellular matrix into the cytoplasm by binding to hepatocyte growth factor/HGF ligand. Regulates many physiological processes including proliferation, scattering, morphogenesis and survival. Ligand binding at the cell surface induces autophosphorylation of MET on its intracellular domain that provides docking sites for downstream signaling molecules. Following activation by ligand, interacts with the PI3-kinase subunit PIK3R1, PLCG1, SRC, GRB2, STAT3 or the adapter GAB1. Recruitment of these downstream effectors by MET leads to the activation of several signaling cascades including the RAS-ERK, PI3 kinase-AKT, or PLCgamma-PKC. The RAS-ERK activation is associated with the morphogenetic effects while PI3K/AKT coordinates prosurvival effects. During embryonic development, MET signaling plays a role in gastrulation, development and migration of muscles and neuronal precursors, angiogenesis and kidney formation. In adults, participates in wound healing as well as organ regeneration and tissue remodeling. Promotes also differentiation and proliferation of hematopoietic cells.; </t>
  </si>
  <si>
    <t xml:space="preserve">DISEASE: Note=Activation of MET after rearrangement with the TPR gene produces an oncogenic protein.; DISEASE: Note=Defects in MET may be associated with gastric cancer.; DISEASE: Hepatocellular carcinoma (HCC) [MIM:114550]: A primary malignant neoplasm of epithelial liver cells. The major risk factors for HCC are chronic hepatitis B virus (HBV) infection, chronic hepatitis C virus (HCV) infection, prolonged dietary aflatoxin exposure, alcoholic cirrhosis, and cirrhosis due to other causes. {ECO:0000269|PubMed:9927037}. Note=The disease is caused by mutations affecting the gene represented in this entry.; DISEASE: Renal cell carcinoma papillary (RCCP) [MIM:605074]: A subtype of renal cell carcinoma tending to show a tubulo-papillary architecture formed by numerous, irregular, finger-like projections of connective tissue. Renal cell carcinoma is a heterogeneous group of sporadic or hereditary carcinoma derived from cells of the proximal renal tubular epithelium. {ECO:0000269|PubMed:10327054, ECO:0000269|PubMed:10417759, ECO:0000269|PubMed:10433944, ECO:0000269|PubMed:9140397, ECO:0000269|PubMed:9563489}. Note=The disease is caused by mutations affecting the gene represented in this entry.; DISEASE: Note=A common allele in the promoter region of the MET shows genetic association with susceptibility to autism in some families. Functional assays indicate a decrease in MET promoter activity and altered binding of specific transcription factor complexes.; DISEASE: Note=MET activating mutations may be involved in the development of a highly malignant, metastatic syndrome known as cancer of unknown primary origin (CUP) or primary occult malignancy. Systemic neoplastic spread is generally a late event in cancer progression. However, in some instances, distant dissemination arises at a very early stage, so that metastases reach clinical relevance before primary lesions. Sometimes, the primary lesions cannot be identified in spite of the progresses in the diagnosis of malignancies.; </t>
  </si>
  <si>
    <t xml:space="preserve">228.64</t>
  </si>
  <si>
    <t xml:space="preserve">12,9</t>
  </si>
  <si>
    <t xml:space="preserve">2.96390764420065e-36</t>
  </si>
  <si>
    <t xml:space="preserve">cystic fibrosis transmembrane conductance regulator</t>
  </si>
  <si>
    <t xml:space="preserve">FUNCTION: Involved in the transport of chloride ions. May regulate bicarbonate secretion and salvage in epithelial cells by regulating the SLC4A7 transporter. Can inhibit the chloride channel activity of ANO1. Plays a role in the chloride and bicarbonate homeostasis during sperm epididymal maturation and capacitation. {ECO:0000269|PubMed:22178883}.; </t>
  </si>
  <si>
    <t xml:space="preserve">DISEASE: Cystic fibrosis (CF) [MIM:219700]: A common generalized disorder of the exocrine glands which impairs clearance of secretions in a variety of organs. It is characterized by the triad of chronic bronchopulmonary disease (with recurrent respiratory infections), pancreatic insufficiency (which leads to malabsorption and growth retardation) and elevated sweat electrolytes. It is the most common genetic disease in Caucasians, with a prevalence of about 1 in 2'000 live births. Inheritance is autosomal recessive. {ECO:0000269|PubMed:10094564, ECO:0000269|PubMed:1284466, ECO:0000269|PubMed:1284468, ECO:0000269|PubMed:1284529, ECO:0000269|PubMed:1284530, ECO:0000269|PubMed:1695717, ECO:0000269|PubMed:1710600, ECO:0000269|PubMed:2236053, ECO:0000269|PubMed:7504969, ECO:0000269|PubMed:7505694, ECO:0000269|PubMed:7513296, ECO:0000269|PubMed:7517264, ECO:0000269|PubMed:7520022, ECO:0000269|PubMed:7522211, ECO:0000269|PubMed:7524909, ECO:0000269|PubMed:7524913, ECO:0000269|PubMed:7525450, ECO:0000269|PubMed:7537150, ECO:0000269|PubMed:7541273, ECO:0000269|PubMed:7541510, ECO:0000269|PubMed:7543567, ECO:0000269|PubMed:7544319, ECO:0000269|PubMed:7581407, ECO:0000269|PubMed:7680525, ECO:0000269|PubMed:7683628, ECO:0000269|PubMed:7683954, ECO:0000269|PubMed:8081395, ECO:0000269|PubMed:8522333, ECO:0000269|PubMed:8723693, ECO:0000269|PubMed:8723695, ECO:0000269|PubMed:8800923, ECO:0000269|PubMed:8829633, ECO:0000269|PubMed:8956039, ECO:0000269|PubMed:9101301, ECO:0000269|PubMed:9222768, ECO:0000269|PubMed:9375855, ECO:0000269|PubMed:9401006, ECO:0000269|PubMed:9443874, ECO:0000269|PubMed:9452048, ECO:0000269|PubMed:9452054, ECO:0000269|PubMed:9452073, ECO:0000269|PubMed:9482579, ECO:0000269|PubMed:9521595, ECO:0000269|PubMed:9554753, ECO:0000269|PubMed:9736778, ECO:0000269|PubMed:9921909}. Note=The disease is caused by mutations affecting the gene represented in this entry.; DISEASE: Congenital bilateral absence of the vas deferens (CBAVD) [MIM:277180]: Important cause of sterility in men and could represent an incomplete form of cystic fibrosis, as the majority of men suffering from cystic fibrosis lack the vas deferens. {ECO:0000269|PubMed:10651488, ECO:0000269|PubMed:7529962, ECO:0000269|PubMed:7539342, ECO:0000269|PubMed:9067761, ECO:0000269|Ref.77}. Note=The disease is caused by mutations affecting the gene represented in this entry.; </t>
  </si>
  <si>
    <t xml:space="preserve">222.64</t>
  </si>
  <si>
    <t xml:space="preserve">18,7</t>
  </si>
  <si>
    <t xml:space="preserve">0.970971739459398</t>
  </si>
  <si>
    <t xml:space="preserve">ubiquitin conjugating enzyme E2 H</t>
  </si>
  <si>
    <t xml:space="preserve">FUNCTION: Accepts ubiquitin from the E1 complex and catalyzes its covalent attachment to other proteins. In vitro catalyzes 'Lys- 11'- and 'Lys-48'-linked polyubiquitination. Capable, in vitro, to ubiquitinate histone H2A. {ECO:0000269|PubMed:20061386, ECO:0000269|PubMed:8132613}.; </t>
  </si>
  <si>
    <t xml:space="preserve">912.64</t>
  </si>
  <si>
    <t xml:space="preserve">180</t>
  </si>
  <si>
    <t xml:space="preserve">147,33</t>
  </si>
  <si>
    <t xml:space="preserve">exonic;intergenic;ncRNA_exonic</t>
  </si>
  <si>
    <t xml:space="preserve">dist=56538;dist=128736;ENSG00000211706:ENST00000390353:exon2:c.G340T:p.E114X</t>
  </si>
  <si>
    <t xml:space="preserve">271.64</t>
  </si>
  <si>
    <t xml:space="preserve">19,8</t>
  </si>
  <si>
    <t xml:space="preserve">6;7</t>
  </si>
  <si>
    <t xml:space="preserve">0.00122029540045484</t>
  </si>
  <si>
    <t xml:space="preserve">protease, serine 1</t>
  </si>
  <si>
    <t xml:space="preserve">FUNCTION: Has activity against the synthetic substrates Boc-Phe- Ser-Arg-Mec, Boc-Leu-Thr-Arg-Mec, Boc-Gln-Ala-Arg-Mec and Boc-Val- Pro-Arg-Mec. The single-chain form is more active than the two- chain form against all of these substrates. {ECO:0000269|PubMed:7945238}.; </t>
  </si>
  <si>
    <t xml:space="preserve">DISEASE: Pancreatitis, hereditary (PCTT) [MIM:167800]: A disease characterized by pancreas inflammation, permanent destruction of the pancreatic parenchyma, maldigestion, and severe abdominal pain attacks. {ECO:0000269|PubMed:10204851, ECO:0000269|PubMed:10381903, ECO:0000269|PubMed:10930381, ECO:0000269|PubMed:11073545, ECO:0000269|PubMed:11788572, ECO:0000269|PubMed:11866271, ECO:0000269|PubMed:14695529, ECO:0000269|PubMed:15776435, ECO:0000269|PubMed:8841182, ECO:0000269|PubMed:9322498, ECO:0000269|PubMed:9633818}. Note=Disease susceptibility is associated with variations affecting the gene represented in this entry.; </t>
  </si>
  <si>
    <t xml:space="preserve">274.64</t>
  </si>
  <si>
    <t xml:space="preserve">2690.60</t>
  </si>
  <si>
    <t xml:space="preserve">143</t>
  </si>
  <si>
    <t xml:space="preserve">73,70</t>
  </si>
  <si>
    <t xml:space="preserve">333.64</t>
  </si>
  <si>
    <t xml:space="preserve">38,11</t>
  </si>
  <si>
    <t xml:space="preserve">628.64</t>
  </si>
  <si>
    <t xml:space="preserve">47,19</t>
  </si>
  <si>
    <t xml:space="preserve">642.64</t>
  </si>
  <si>
    <t xml:space="preserve">63,20</t>
  </si>
  <si>
    <t xml:space="preserve">895.64</t>
  </si>
  <si>
    <t xml:space="preserve">261</t>
  </si>
  <si>
    <t xml:space="preserve">224,37</t>
  </si>
  <si>
    <t xml:space="preserve">intergenic;ncRNA_exonic;ncRNA_intronic;splicing</t>
  </si>
  <si>
    <t xml:space="preserve">dist=9850;dist=7984;ENST00000539842:exon2:c.183+1A&gt;G;ENST00000539842:exon3:c.184-2A&gt;G</t>
  </si>
  <si>
    <t xml:space="preserve">1;7</t>
  </si>
  <si>
    <t xml:space="preserve">CCAGGCAGCCTCATCGCTGACATAGGTAA</t>
  </si>
  <si>
    <t xml:space="preserve">299.60</t>
  </si>
  <si>
    <t xml:space="preserve">34,13</t>
  </si>
  <si>
    <t xml:space="preserve">frameshift deletion;nonframeshift deletion</t>
  </si>
  <si>
    <t xml:space="preserve">TRMT9B:NM_020844:exon3:c.130_154del:p.P44Vfs*10;KIAA1456:uc010lsq.3:exon3:c.130_154del:p.P44Vfs*10,KIAA1456:uc011kxw.2:exon4:c.130_154del:p.P44Vfs*10;ENSG00000250305:ENST00000524591:exon3:c.130_154del:p.P44Vfs*10,ENSG00000250305:ENST00000528753:exon3:c.130_158del:p.P44P,ENSG00000250305:ENST00000532376:exon3:c.130_154del:p.P44Vfs*3,ENSG00000250305:ENST00000400069:exon4:c.130_158del:p.P44P,ENSG00000250305:ENST00000447063:exon4:c.130_154del:p.P44Vfs*10</t>
  </si>
  <si>
    <t xml:space="preserve">KIAA1456</t>
  </si>
  <si>
    <t xml:space="preserve">2266.64</t>
  </si>
  <si>
    <t xml:space="preserve">112</t>
  </si>
  <si>
    <t xml:space="preserve">52,60</t>
  </si>
  <si>
    <t xml:space="preserve">pericentriolar material 1</t>
  </si>
  <si>
    <t xml:space="preserve">FUNCTION: Required for centrosome assembly and function. Essential for the correct localization of several centrosomal proteins including CEP250, CETN3, PCNT and NEK2. Required to anchor microtubules to the centrosome. Involved in the biogenesis of cilia. {ECO:0000269|PubMed:12403812, ECO:0000269|PubMed:15659651, ECO:0000269|PubMed:16943179, ECO:0000269|PubMed:20551181, ECO:0000269|PubMed:24121310}.; </t>
  </si>
  <si>
    <t xml:space="preserve">DISEASE: Note=A chromosomal aberration involving PCM1 is found in papillary thyroid carcinomas (PTCs). Translocation t(8;10)(p21.3;q11.2) with RET links the protein kinase domain of RET to the major portion of PCM1. {ECO:0000269|PubMed:10980597}.; DISEASE: Note=A chromosomal aberration involving PCM1 is found in a variety of hematological malignancies including atypical chronic myeloid leukemia (atypical CML) and T-cell lymphoma. Translocation t(8;9)(p22;p24) with JAK2 links the protein kinase domain of JAK2 to the major portion of PCM1.; </t>
  </si>
  <si>
    <t xml:space="preserve">126.64</t>
  </si>
  <si>
    <t xml:space="preserve">3,4</t>
  </si>
  <si>
    <t xml:space="preserve">uc003wyn.2:c.-138C&gt;A;uc003wyo.2:c.-138C&gt;A</t>
  </si>
  <si>
    <t xml:space="preserve">5.35814510968979e-11</t>
  </si>
  <si>
    <t xml:space="preserve">N-acylsphingosine amidohydrolase (acid ceramidase) 1</t>
  </si>
  <si>
    <t xml:space="preserve">FUNCTION: Hydrolyzes the sphingolipid ceramide into sphingosine and free fatty acid.; </t>
  </si>
  <si>
    <t xml:space="preserve">DISEASE: Spinal muscular atrophy with progressive myoclonic epilepsy (SMAPME) [MIM:159950]: An autosomal recessive neuromuscular disorder characterized by childhood onset of motor deficits and progressive myoclonic seizures, after normal developmental milestones. Proximal muscle weakness and generalized muscular atrophy are due to degeneration of spinal motor neurons. Myoclonic epilepsy is generally resistant to conventional therapy. The disease course is progressive and leads to respiratory muscle involvement and severe handicap or early death from respiratory insufficiency. {ECO:0000269|PubMed:22703880, ECO:0000269|PubMed:24164096}. Note=The disease is caused by mutations affecting the gene represented in this entry.; </t>
  </si>
  <si>
    <t xml:space="preserve">35.99</t>
  </si>
  <si>
    <t xml:space="preserve">1,13,3</t>
  </si>
  <si>
    <t xml:space="preserve">1.0712969110463e-14</t>
  </si>
  <si>
    <t xml:space="preserve">scaffolding protein involved in DNA repair</t>
  </si>
  <si>
    <t xml:space="preserve">FUNCTION: Plays a role in DNA double-strand break (DBS) repair via homologous recombination (HR). Serves as a scaffolding protein that helps to promote the recruitment of DNA-processing enzymes like the helicase BLM and recombinase RAD51 to site of DNA damage, and hence contributes to maintain genomic integrity. {ECO:0000269|PubMed:23509288, ECO:0000269|PubMed:23754376}.; </t>
  </si>
  <si>
    <t xml:space="preserve">CallConflict</t>
  </si>
  <si>
    <t xml:space="preserve">AAC</t>
  </si>
  <si>
    <t xml:space="preserve">18,3</t>
  </si>
  <si>
    <t xml:space="preserve">dist=42908;dist=428284</t>
  </si>
  <si>
    <t xml:space="preserve">3.68445777366637e-10</t>
  </si>
  <si>
    <t xml:space="preserve">retinitis pigmentosa 1 (autosomal dominant)</t>
  </si>
  <si>
    <t xml:space="preserve">FUNCTION: Microtubule-associated protein regulating the stability and length of the microtubule-based axoneme of photoreceptors. Required for the differentiation of photoreceptor cells, it plays a role in the organization of the outer segment of rod and cone photoreceptors ensuring the correct orientation and higher-order stacking of outer segment disks along the photoreceptor axoneme (By similarity). {ECO:0000250}.; </t>
  </si>
  <si>
    <t xml:space="preserve">DISEASE: Retinitis pigmentosa 1 (RP1) [MIM:180100]: A retinal dystrophy belonging to the group of pigmentary retinopathies. Retinitis pigmentosa is characterized by retinal pigment deposits visible on fundus examination and primary loss of rod photoreceptor cells followed by secondary loss of cone photoreceptors. Patients typically have night vision blindness and loss of midperipheral visual field. As their condition progresses, they lose their far peripheral visual field and eventually central vision as well. {ECO:0000269|PubMed:10391211, ECO:0000269|PubMed:10484783, ECO:0000269|PubMed:11095597, ECO:0000269|PubMed:15863674, ECO:0000269|PubMed:15933747, ECO:0000269|PubMed:19956407, ECO:0000269|PubMed:20664799, ECO:0000269|PubMed:22052604, ECO:0000269|PubMed:22334370}. Note=The disease is caused by mutations affecting the gene represented in this entry.; </t>
  </si>
  <si>
    <t xml:space="preserve">30.60</t>
  </si>
  <si>
    <t xml:space="preserve">24,5</t>
  </si>
  <si>
    <t xml:space="preserve">dist=103974;dist=367219</t>
  </si>
  <si>
    <t xml:space="preserve">TGTGTG</t>
  </si>
  <si>
    <t xml:space="preserve">736.02</t>
  </si>
  <si>
    <t xml:space="preserve">0,7,11</t>
  </si>
  <si>
    <t xml:space="preserve">dist=128299;dist=342890</t>
  </si>
  <si>
    <t xml:space="preserve">845.64</t>
  </si>
  <si>
    <t xml:space="preserve">29,33</t>
  </si>
  <si>
    <t xml:space="preserve">0.876351937073404</t>
  </si>
  <si>
    <t xml:space="preserve">armadillo repeat containing 1</t>
  </si>
  <si>
    <t xml:space="preserve">435.64</t>
  </si>
  <si>
    <t xml:space="preserve">0.956844283836257</t>
  </si>
  <si>
    <t xml:space="preserve">WW domain containing E3 ubiquitin protein ligase 1</t>
  </si>
  <si>
    <t xml:space="preserve">FUNCTION: E3 ubiquitin-protein ligase which accepts ubiquitin from an E2 ubiquitin-conjugating enzyme in the form of a thioester and then directly transfers the ubiquitin to targeted substrates. Ubiquitinates ERBB4 isoforms JM-A CYT-1 and JM-B CYT-1, KLF2, KLF5 and TP63 and promotes their proteasomal degradation. Ubiquitinates RNF11 without targeting it for degradation. Ubiquitinates and promotes degradation of TGFBR1; the ubiquitination is enhanced by SMAD7. Ubiquitinates SMAD6 and SMAD7. Ubiquitinates and promotes degradation of SMAD2 in response to TGF-beta signaling, which requires interaction with TGIF. {ECO:0000269|PubMed:12535537, ECO:0000269|PubMed:15221015, ECO:0000269|PubMed:15359284}.; </t>
  </si>
  <si>
    <t xml:space="preserve">186.02</t>
  </si>
  <si>
    <t xml:space="preserve">0,2,8</t>
  </si>
  <si>
    <t xml:space="preserve">0.999880613176069</t>
  </si>
  <si>
    <t xml:space="preserve">grainyhead like transcription factor 2</t>
  </si>
  <si>
    <t xml:space="preserve">FUNCTION: Transcription factor playing an important role in primary neurulation and in epithelial development (PubMed:25152456). Binds directly to the consensus DNA sequence 5'-AACCGGTT-3' acting as an activator and repressor on distinct target genes (By similarity). During embryogenesis, plays unique and cooperative roles with GRHL3 in establishing distinct zones of primary neurulation. Essential for closure 3 (rostral end of the forebrain), functions cooperatively with GRHL3 in closure 2 (forebrain/midbrain boundary) and posterior neuropore closure (By similarity). Regulates epithelial morphogenesis acting as a target gene-associated transcriptional activator of apical junctional complex components. Up-regulates of CLDN3 and CLDN4, as well as of RAB25, which increases the CLDN4 protein and its localization at tight junctions (By similarity). Comprises an essential component of the transcriptional machinery that establishes appropriate expression levels of CLDN4 and CDH1 in different types of epithelia. Exhibits functional redundancy with GRHL3 in epidermal morphogenetic events and epidermal wound repair (By similarity). In lung, forms a regulatory loop with NKX2-1 that coordinates lung epithelial cell morphogenesis and differentiation (By similarity). In keratinocytes, plays a role in telomerase activation during cellular proliferation, regulates TERT expression by binding to TERT promoter region and inhibiting DNA methylation at the 5'-CpG island, possibly by interfering with DNMT1 enzyme activity (PubMed:19015635, PubMed:20938050). In addition, impairs keratinocyte differentiation and epidermal function by inhibiting the expression of genes clustered at the epidermal differentiation complex (EDC) as well as GRHL1 and GRHL3 through epigenetic mechanisms (PubMed:23254293). {ECO:0000250|UniProtKB:Q8K5C0, ECO:0000269|PubMed:19015635, ECO:0000269|PubMed:20938050, ECO:0000269|PubMed:20978075, ECO:0000269|PubMed:23254293, ECO:0000269|PubMed:25152456, ECO:0000305|PubMed:12175488}.; </t>
  </si>
  <si>
    <t xml:space="preserve">DISEASE: Deafness, autosomal dominant, 28 (DFNA28) [MIM:608641]: A form of non-syndromic sensorineural hearing loss. Sensorineural deafness results from damage to the neural receptors of the inner ear, the nerve pathways to the brain, or the area of the brain that receives sound information. DFNA28 is characterized by mild to moderate hearing loss across most frequencies that progresses to severe loss in the higher frequencies by the fifth decade. {ECO:0000269|PubMed:12393799}. Note=The disease is caused by mutations affecting the gene represented in this entry.; DISEASE: Ectodermal dysplasia/short stature syndrome (ECTDS) [MIM:616029]: An autosomal recessive ectodermal dysplasia syndrome characterized by nail dystrophy and/or loss, oral mucosa and/or tongue pigmentation, abnormal dentition, keratoderma affecting the margins of the palms and soles, focal hyperkeratosis of the dorsal aspects of the hands and feet, and short stature. {ECO:0000269|PubMed:25152456}. Note=The disease is caused by mutations affecting the gene represented in this entry.; </t>
  </si>
  <si>
    <t xml:space="preserve">16,12</t>
  </si>
  <si>
    <t xml:space="preserve">maestro heat like repeat family member 5</t>
  </si>
  <si>
    <t xml:space="preserve">44.64</t>
  </si>
  <si>
    <t xml:space="preserve">6,2</t>
  </si>
  <si>
    <t xml:space="preserve">0.96453876461509</t>
  </si>
  <si>
    <t xml:space="preserve">zinc finger CCCH-type containing 3</t>
  </si>
  <si>
    <t xml:space="preserve">FUNCTION: Required for the export of polyadenylated mRNAs from the nucleus (PubMed:19364924). Enhances ACVR1B-induced SMAD-dependent transcription. Binds to single-stranded DNA but not to double- stranded DNA in vitro. Involved in RNA cleavage (By similarity). {ECO:0000250|UniProtKB:Q8CHP0, ECO:0000269|PubMed:19364924}.; </t>
  </si>
  <si>
    <t xml:space="preserve">442.02</t>
  </si>
  <si>
    <t xml:space="preserve">5,14,6</t>
  </si>
  <si>
    <t xml:space="preserve">RecQ like helicase 4</t>
  </si>
  <si>
    <t xml:space="preserve">FUNCTION: DNA-dependent ATPase. May modulate chromosome segregation. {ECO:0000269|PubMed:15317757}.; </t>
  </si>
  <si>
    <t xml:space="preserve">DISEASE: Rothmund-Thomson syndrome (RTS) [MIM:268400]: Characterized by dermatological features such as atrophy, pigmentation, and telangiectasia and frequently accompanied by juvenile cataract, saddle nose, congenital bone defects, disturbances of hair growth, and hypogonadism. {ECO:0000269|PubMed:10552928}. Note=The disease is caused by mutations affecting the gene represented in this entry.; DISEASE: RAPADILINO syndrome (RAPADILINOS) [MIM:266280]: Disease characterized by radial and patellar aplasia or hypoplasia. {ECO:0000269|PubMed:12952869}. Note=The disease is caused by mutations affecting the gene represented in this entry.; DISEASE: Baller-Gerold syndrome (BGS) [MIM:218600]: An autosomal recessive syndrome characterized by short stature, craniosynostosis, absent or hypoplastic radii, short and curved ulna, fused carpal bones and absent carpals, metacarpals and phalanges. Some patients manifest poikiloderma. Cases reported as Baller-Gerold syndrome have phenotypic overlap with several other disorders, including Saethre-Chotzen syndrome. {ECO:0000269|PubMed:15964893}. Note=The disease is caused by mutations affecting the gene represented in this entry.; </t>
  </si>
  <si>
    <t xml:space="preserve">568.64</t>
  </si>
  <si>
    <t xml:space="preserve">58</t>
  </si>
  <si>
    <t xml:space="preserve">37,21</t>
  </si>
  <si>
    <t xml:space="preserve">0.642141452095713</t>
  </si>
  <si>
    <t xml:space="preserve">COBW domain containing 1</t>
  </si>
  <si>
    <t xml:space="preserve">161.64</t>
  </si>
  <si>
    <t xml:space="preserve">0.999773274384127</t>
  </si>
  <si>
    <t xml:space="preserve">regulatory factor X3</t>
  </si>
  <si>
    <t xml:space="preserve">FUNCTION: Transcription factor required for ciliogenesis and islet cell differentiation during endocrine pancreas development. Essential for the differentiation of nodal monocilia and left- right asymmetry specification during embryogenesis. Required for the biogenesis of motile cilia by governing growth and beating efficiency of motile cells. Also required for ciliated ependymal cell differentiation. Regulates the expression of genes involved in ciliary assembly (DYNC2LI1, FOXJ1 and BBS4) and genes involved in ciliary motility (DNAH11, DNAH9 and DNAH5) (By similarity). Together with RFX6, participates in the differentiation of 4 of the 5 islet cell types during endocrine pancreas development, with the exception of pancreatic PP (polypeptide-producing) cells. Regulates transcription by forming a heterodimer with another RFX protein and binding to the X-box in the promoter of target genes. Acts as a transcription factor. Represses transcription of MAP1A in non-neuronal cells but not in neuronal cells. {ECO:0000250, ECO:0000269|PubMed:12411430, ECO:0000269|PubMed:20148032}.; </t>
  </si>
  <si>
    <t xml:space="preserve">106.60</t>
  </si>
  <si>
    <t xml:space="preserve">50,11</t>
  </si>
  <si>
    <t xml:space="preserve">0.000179316285483304</t>
  </si>
  <si>
    <t xml:space="preserve">methylthioadenosine phosphorylase</t>
  </si>
  <si>
    <t xml:space="preserve">FUNCTION: Catalyzes the reversible phosphorylation of S-methyl-5'- thioadenosine (MTA) to adenine and 5-methylthioribose-1-phosphate. Involved in the breakdown of MTA, a major by-product of polyamine biosynthesis. Responsible for the first step in the methionine salvage pathway after MTA has been generated from S- adenosylmethionine. Has broad substrate specificity with 6- aminopurine nucleosides as preferred substrates. {ECO:0000255|HAMAP-Rule:MF_03155, ECO:0000269|PubMed:3091600}.; </t>
  </si>
  <si>
    <t xml:space="preserve">DISEASE: Note=Loss of MTAP activity may play a role in human cancer. MTAP loss has been reported in a number of cancers, including osteosarcoma, malignant melanoma and gastric cancer.; </t>
  </si>
  <si>
    <t xml:space="preserve">413.64</t>
  </si>
  <si>
    <t xml:space="preserve">21,14</t>
  </si>
  <si>
    <t xml:space="preserve">5.87975059285447e-10</t>
  </si>
  <si>
    <t xml:space="preserve">Fanconi anemia complementation group C</t>
  </si>
  <si>
    <t xml:space="preserve">FUNCTION: DNA repair protein that may operate in a postreplication repair or a cell cycle checkpoint function. May be implicated in interstrand DNA cross-link repair and in the maintenance of normal chromosome stability. Upon IFNG induction, may facilitate STAT1 activation by recruiting STAT1 to IFNGR1. {ECO:0000269|PubMed:11520787}.; </t>
  </si>
  <si>
    <t xml:space="preserve">DISEASE: Fanconi anemia complementation group C (FANCC) [MIM:227645]: A disorder affecting all bone marrow elements and resulting in anemia, leukopenia and thrombopenia. It is associated with cardiac, renal and limb malformations, dermal pigmentary changes, and a predisposition to the development of malignancies. At the cellular level it is associated with hypersensitivity to DNA-damaging agents, chromosomal instability (increased chromosome breakage) and defective DNA repair. {ECO:0000269|PubMed:11520787, ECO:0000269|PubMed:15299030, ECO:0000269|PubMed:1574115, ECO:0000269|PubMed:8128956, ECO:0000269|PubMed:8499901, ECO:0000269|PubMed:8844212, ECO:0000269|PubMed:9242535}. Note=The disease is caused by mutations affecting the gene represented in this entry.; </t>
  </si>
  <si>
    <t xml:space="preserve">1085.64</t>
  </si>
  <si>
    <t xml:space="preserve">45,43</t>
  </si>
  <si>
    <t xml:space="preserve">AAAAAAA</t>
  </si>
  <si>
    <t xml:space="preserve">398.02</t>
  </si>
  <si>
    <t xml:space="preserve">1,4,5</t>
  </si>
  <si>
    <t xml:space="preserve">NM_153366:exon46:c.10505-2-&gt;TTTTTTT;uc010mty.3:exon13:c.4283-2-&gt;TTTTTTT;uc010mtz.3:exon46:c.10505-2-&gt;TTTTTTT;ENST00000401783:exon46:c.10505-2-&gt;TTTTTTT;ENST00000374469:exon46:c.10436-2-&gt;TTTTTTT;ENST00000297826:exon11:c.4283-2-&gt;TTTTTTT</t>
  </si>
  <si>
    <t xml:space="preserve">0.589007650495336</t>
  </si>
  <si>
    <t xml:space="preserve">sushi, von Willebrand factor type A, EGF and pentraxin domain containing 1</t>
  </si>
  <si>
    <t xml:space="preserve">FUNCTION: May play a role in the cell attachment process. {ECO:0000250}.; </t>
  </si>
  <si>
    <t xml:space="preserve">940.64</t>
  </si>
  <si>
    <t xml:space="preserve">46,43</t>
  </si>
  <si>
    <t xml:space="preserve">0.967751416645701</t>
  </si>
  <si>
    <t xml:space="preserve">pregnancy-associated plasma protein A, pappalysin 1</t>
  </si>
  <si>
    <t xml:space="preserve">FUNCTION: Metalloproteinase which specifically cleaves IGFBP-4 and IGFBP-5, resulting in release of bound IGF. Cleavage of IGFBP-4 is dramatically enhanced by the presence of IGF, whereas cleavage of IGFBP-5 is slightly inhibited by the presence of IGF. {ECO:0000269|PubMed:10077652, ECO:0000269|PubMed:10913121, ECO:0000269|PubMed:11522292}.; </t>
  </si>
  <si>
    <t xml:space="preserve">749.64</t>
  </si>
  <si>
    <t xml:space="preserve">30,32</t>
  </si>
  <si>
    <t xml:space="preserve">NM_001318122:c.-15C&gt;T</t>
  </si>
  <si>
    <t xml:space="preserve">0.654809128002237</t>
  </si>
  <si>
    <t xml:space="preserve">adenylate kinase 1</t>
  </si>
  <si>
    <t xml:space="preserve">FUNCTION: Catalyzes the reversible transfer of the terminal phosphate group between ATP and AMP. Also displays broad nucleoside diphosphate kinase activity. Plays an important role in cellular energy homeostasis and in adenine nucleotide metabolism. {ECO:0000255|HAMAP-Rule:MF_03171, ECO:0000269|PubMed:23416111}.; </t>
  </si>
  <si>
    <t xml:space="preserve">DISEASE: Hemolytic anemia due to adenylate kinase deficiency (HAAKD) [MIM:612631]: A disease characterized by hemolytic anemia and undetectable erythrocyte adenylate kinase activity. {ECO:0000269|PubMed:12649162, ECO:0000269|PubMed:2542324, ECO:0000269|PubMed:9432020}. Note=The disease is caused by mutations affecting the gene represented in this entry.; </t>
  </si>
  <si>
    <t xml:space="preserve">GCGGAGGCC</t>
  </si>
  <si>
    <t xml:space="preserve">702.60</t>
  </si>
  <si>
    <t xml:space="preserve">UTR5;ncRNA_intronic</t>
  </si>
  <si>
    <t xml:space="preserve">uc011mbg.2:c.-14123_-14122insGCGGAGGCC;uc011mbh.2:c.-2749_-2748insGCGGAGGCC;uc004bvm.4:c.-14123_-14122insGCGGAGGCC;uc004bvl.4:c.-14123_-14122insGCGGAGGCC;uc004bvn.4:c.-14123_-14122insGCGGAGGCC;ENST00000358161:c.-14123_-14122insGCGGAGGCC;ENST00000372739:c.-14123_-14122insGCGGAGGCC;ENST00000372731:c.-14123_-14122insGCGGAGGCC</t>
  </si>
  <si>
    <t xml:space="preserve">0.999999999999786</t>
  </si>
  <si>
    <t xml:space="preserve">microRNA 1268a;spectrin alpha, non-erythrocytic 1</t>
  </si>
  <si>
    <t xml:space="preserve">FUNCTION: Fodrin, which seems to be involved in secretion, interacts with calmodulin in a calcium-dependent manner and is thus candidate for the calcium-dependent movement of the cytoskeleton at the membrane.; </t>
  </si>
  <si>
    <t xml:space="preserve">DISEASE: Epileptic encephalopathy, early infantile, 5 (EIEE5) [MIM:613477]: A disorder characterized by seizures associated with hypsarrhythmia, profound mental retardation with lack of visual attention and speech development, as well as spastic quadriplegia. {ECO:0000269|PubMed:20493457}. Note=The disease is caused by mutations affecting the gene represented in this entry.; </t>
  </si>
  <si>
    <t xml:space="preserve">1240.64</t>
  </si>
  <si>
    <t xml:space="preserve">59,57</t>
  </si>
  <si>
    <t xml:space="preserve">1949.64</t>
  </si>
  <si>
    <t xml:space="preserve">63,81</t>
  </si>
  <si>
    <t xml:space="preserve">5.93053456347448e-10</t>
  </si>
  <si>
    <t xml:space="preserve">phytanoyl-CoA dioxygenase domain containing 1</t>
  </si>
  <si>
    <t xml:space="preserve">FUNCTION: Isoform 1 has alpha-ketoglutarate-dependent dioxygenase activity. Does not show detectable activity towards fatty acid CoA thioesters. Is not expected to be active with phytanoyl CoA. Isoform 2 and isoform 3 probably lack enzyme activity. {ECO:0000269|PubMed:21530488}.; </t>
  </si>
  <si>
    <t xml:space="preserve">CA</t>
  </si>
  <si>
    <t xml:space="preserve">60.60</t>
  </si>
  <si>
    <t xml:space="preserve">126,13</t>
  </si>
  <si>
    <t xml:space="preserve">OLFM1:uc010naq.2:exon2:c.406_407del:p.T141Mfs*41;ENSG00000130558:ENST00000371799:exon2:c.436_437del:p.T151Mfs*41</t>
  </si>
  <si>
    <t xml:space="preserve">0.935993730569587</t>
  </si>
  <si>
    <t xml:space="preserve">olfactomedin 1</t>
  </si>
  <si>
    <t xml:space="preserve">FUNCTION: Contributes to the regulation of axonal growth in the embryonic and adult central nervous system by inhibiting interactions between RTN4R and LINGO1. Inhibits RTN4R-mediated axon growth cone collapse (By similarity). May play an important role in regulating the production of neural crest cells by the neural tube (By similarity). May be required for normal responses to olfactory stimuli (By similarity). {ECO:0000250|UniProtKB:O88998, ECO:0000250|UniProtKB:Q9IAK4}.; </t>
  </si>
  <si>
    <t xml:space="preserve">598.64</t>
  </si>
  <si>
    <t xml:space="preserve">12,22</t>
  </si>
  <si>
    <t xml:space="preserve">0.753664482005709</t>
  </si>
  <si>
    <t xml:space="preserve">calmodulin regulated spectrin associated protein 1</t>
  </si>
  <si>
    <t xml:space="preserve">FUNCTION: Probable microtubule-binding protein that plays a role in the regulation of cell morphology and cytoskeletal organization. Through interaction with spectrin may regulate neurite outgrowth. {ECO:0000269|PubMed:19508979, ECO:0000269|PubMed:21834987, ECO:0000269|PubMed:24117850}.; </t>
  </si>
  <si>
    <t xml:space="preserve">48.60</t>
  </si>
  <si>
    <t xml:space="preserve">39,5</t>
  </si>
  <si>
    <t xml:space="preserve">PRICKLE3:uc011mmw.1:exon3:c.178_179del:p.T60Sfs*20,PRICKLE3:uc011mmy.1:exon3:c.382_383del:p.T128Sfs*20;ENSG00000012211:ENST00000417014:exon3:c.382_383del:p.T128Sfs*11,ENSG00000012211:ENST00000536904:exon3:c.178_179del:p.T60Sfs*20,ENSG00000012211:ENST00000538114:exon3:c.382_383del:p.T128Sfs*20</t>
  </si>
  <si>
    <t xml:space="preserve">0.15265646111407</t>
  </si>
  <si>
    <t xml:space="preserve">prickle planar cell polarity protein 3</t>
  </si>
  <si>
    <t xml:space="preserve">438.64</t>
  </si>
  <si>
    <t xml:space="preserve">4,11</t>
  </si>
  <si>
    <t xml:space="preserve">0.999544464508013</t>
  </si>
  <si>
    <t xml:space="preserve">DLG3 antisense RNA 1;discs large homolog 3</t>
  </si>
  <si>
    <t xml:space="preserve">FUNCTION: Required for learning most likely through its role in synaptic plasticity following NMDA receptor signaling.; </t>
  </si>
  <si>
    <t xml:space="preserve">DISEASE: Mental retardation, X-linked 90 (MRX90) [MIM:300850]: A disorder characterized by significantly below average general intellectual functioning associated with impairments in adaptive behavior and manifested during the developmental period. Intellectual deficiency is the only primary symptom of non- syndromic X-linked mental retardation, while syndromic mental retardation presents with associated physical, neurological and/or psychiatric manifestations. {ECO:0000269|PubMed:15185169}. Note=The disease is caused by mutations affecting the gene represented in this entry.; </t>
  </si>
  <si>
    <t xml:space="preserve">225.02</t>
  </si>
  <si>
    <t xml:space="preserve">1,5,8</t>
  </si>
  <si>
    <t xml:space="preserve">0.999999755773455</t>
  </si>
  <si>
    <t xml:space="preserve">TATA-box binding protein associated factor 1;brain cytoplasmic RNA 1</t>
  </si>
  <si>
    <t xml:space="preserve">FUNCTION: Largest component and core scaffold of the TFIID basal transcription factor complex. Contains novel N- and C-terminal Ser/Thr kinase domains which can autophosphorylate or transphosphorylate other transcription factors. Phosphorylates TP53 on 'Thr-55' which leads to MDM2-mediated degradation of TP53. Phosphorylates GTF2A1 and GTF2F1 on Ser residues. Possesses DNA- binding activity. Essential for progression of the G1 phase of the cell cycle (PubMed:11278496, PubMed:15053879, PubMed:2038334, PubMed:8450888, PubMed:8625415, PubMed:9660973, PubMed:9858607). Exhibits histone acetyltransferase activity towards histones H3 and H4 (PubMed:15870300). {ECO:0000269|PubMed:11278496, ECO:0000269|PubMed:15053879, ECO:0000269|PubMed:15870300, ECO:0000269|PubMed:2038334, ECO:0000269|PubMed:8450888, ECO:0000269|PubMed:8625415, ECO:0000269|PubMed:9660973, ECO:0000269|PubMed:9858607}.; </t>
  </si>
  <si>
    <t xml:space="preserve">DISEASE: Dystonia 3, torsion, X-linked (DYT3) [MIM:314250]: A X- linked dystonia-parkinsonism disorder. Dystonia is defined by the presence of sustained involuntary muscle contractions, often leading to abnormal postures. DYT3 is characterized by severe progressive torsion dystonia followed by parkinsonism. It has a well-defined pathology of extensive neuronal loss and mosaic gliosis in the striatum (caudate nucleus and putamen) which appears to resemble that in Huntington disease. {ECO:0000269|PubMed:12928496, ECO:0000269|PubMed:17273961}. Note=The disease is caused by mutations affecting the gene represented in this entry.; </t>
  </si>
  <si>
    <t xml:space="preserve">776.02</t>
  </si>
  <si>
    <t xml:space="preserve">39</t>
  </si>
  <si>
    <t xml:space="preserve">3,27,9</t>
  </si>
  <si>
    <t xml:space="preserve">PHKA1:uc010nll.3:exon1:c.101_102insAA:p.F35Sfs*7</t>
  </si>
  <si>
    <t xml:space="preserve">0.881287038362445</t>
  </si>
  <si>
    <t xml:space="preserve">phosphorylase kinase, alpha 1 (muscle)</t>
  </si>
  <si>
    <t xml:space="preserve">FUNCTION: Phosphorylase b kinase catalyzes the phosphorylation of serine in certain substrates, including troponin I. The alpha chain may bind calmodulin.; </t>
  </si>
  <si>
    <t xml:space="preserve">DISEASE: Glycogen storage disease 9D (GSD9D) [MIM:300559]: A metabolic disorder characterized by slowly progressive, predominantly distal muscle weakness and atrophy. Clinical features include exercise intolerance with early fatigability, pain, cramps and occasionally myoglobinuria. {ECO:0000269|PubMed:12825073}. Note=The disease is caused by mutations affecting the gene represented in this entry.; </t>
  </si>
  <si>
    <t xml:space="preserve">506.64</t>
  </si>
  <si>
    <t xml:space="preserve">20,21</t>
  </si>
  <si>
    <t xml:space="preserve">0.763369951142185</t>
  </si>
  <si>
    <t xml:space="preserve">Nik related kinase</t>
  </si>
  <si>
    <t xml:space="preserve">FUNCTION: May phosphorylate cofilin-1 and induce actin polymerization through this process, during the late stages of embryogenesis. Involved in the TNF-alpha-induced signaling pathway (By similarity). {ECO:0000250}.; </t>
  </si>
  <si>
    <t xml:space="preserve">200.64</t>
  </si>
  <si>
    <t xml:space="preserve">8,6</t>
  </si>
  <si>
    <t xml:space="preserve">0.985076414331709</t>
  </si>
  <si>
    <t xml:space="preserve">midline 2</t>
  </si>
  <si>
    <t xml:space="preserve">FUNCTION: May play a role in microtubule stabilization. {ECO:0000303|PubMed:24115387}.; </t>
  </si>
  <si>
    <t xml:space="preserve">DISEASE: Mental retardation, X-linked 101 (MRX101) [MIM:300928]: A disorder characterized by significantly below average general intellectual functioning associated with impairments in adaptive behavior and manifested during the developmental period. Intellectual deficiency is the only primary symptom of non- syndromic X-linked mental retardation, while syndromic mental retardation presents with associated physical, neurological and/or psychiatric manifestations. MRX101 clinical features include global developmental delay, hyperactivity often with aggressive outbursts, and seizures in some patients. Several affected individuals have long face, prominent ears, and squint or strabismus. {ECO:0000269|PubMed:24115387}. Note=The disease is caused by mutations affecting the gene represented in this entry.; </t>
  </si>
  <si>
    <t xml:space="preserve">771.64</t>
  </si>
  <si>
    <t xml:space="preserve">64</t>
  </si>
  <si>
    <t xml:space="preserve">37,27</t>
  </si>
  <si>
    <t xml:space="preserve">0.990988266205785</t>
  </si>
  <si>
    <t xml:space="preserve">collagen type IV alpha 6</t>
  </si>
  <si>
    <t xml:space="preserve">FUNCTION: Type IV collagen is the major structural component of glomerular basement membranes (GBM), forming a 'chicken-wire' meshwork together with laminins, proteoglycans and entactin/nidogen.; </t>
  </si>
  <si>
    <t xml:space="preserve">DISEASE: Note=Deletions covering the N-terminal regions of COL4A5 and COL4A6, which are localized in a head-to-head manner, are found in the chromosome Xq22.3 centromeric deletion syndrome. This results in a phenotype with features of diffuse leiomyomatosis and Alport syndrome (DL-ATS).; DISEASE: Deafness, X-linked, 6 (DFNX6) [MIM:300914]: A non- syndromic form of sensorineural hearing loss with prelingual onset. Sensorineural deafness results from damage to the neural receptors of the inner ear, the nerve pathways to the brain, or the area of the brain that receives sound information. {ECO:0000269|PubMed:23714752}. Note=The disease is caused by mutations affecting the gene represented in this entry.; </t>
  </si>
  <si>
    <t xml:space="preserve">140.64</t>
  </si>
  <si>
    <t xml:space="preserve">49,9</t>
  </si>
  <si>
    <t xml:space="preserve">NM_000033:c.*1001C&gt;T;uc004fif.2:c.*1001C&gt;T</t>
  </si>
  <si>
    <t xml:space="preserve">0.982118837885542</t>
  </si>
  <si>
    <t xml:space="preserve">ATP binding cassette subfamily D member 1</t>
  </si>
  <si>
    <t xml:space="preserve">FUNCTION: Probable transporter. The nucleotide-binding fold acts as an ATP-binding subunit with ATPase activity. {ECO:0000269|PubMed:11248239}.; </t>
  </si>
  <si>
    <t xml:space="preserve">DISEASE: Adrenoleukodystrophy (ALD) [MIM:300100]: A peroxisomal metabolic disorder characterized by progressive multifocal demyelination of the central nervous system and by peripheral adrenal insufficiency (Addison disease). It results in mental deterioration, corticospinal tract dysfunction, and cortical blindness. Different clinical manifestations exist like: cerebral childhood ALD (CALD), adult cerebral ALD (ACALD), adrenomyeloneuropathy (AMN) and 'Addison disease only' (ADO) phenotype. {ECO:0000269|PubMed:10369742, ECO:0000269|PubMed:10480364, ECO:0000269|PubMed:10737980, ECO:0000269|PubMed:10980539, ECO:0000269|PubMed:11438993, ECO:0000269|PubMed:11810273, ECO:0000269|PubMed:15643618, ECO:0000269|PubMed:21700483, ECO:0000269|PubMed:21889498, ECO:0000269|PubMed:7581394, ECO:0000269|PubMed:7717396, ECO:0000269|PubMed:7825602, ECO:0000269|PubMed:7849723, ECO:0000269|PubMed:7904210, ECO:0000269|PubMed:8040304, ECO:0000269|PubMed:8566952, ECO:0000269|PubMed:8651290, ECO:0000269|PubMed:9452087}. Note=The disease is caused by mutations affecting the gene represented in this entry.; DISEASE: Note=The promoter region of ABCD1 is deleted in the chromosome Xq28 deletion syndrome which involves ABCD1 and the neighboring gene BCAP31. {ECO:0000269|PubMed:11992258}.; </t>
  </si>
  <si>
    <t xml:space="preserve">TIA1</t>
  </si>
  <si>
    <t xml:space="preserve">myocardium;ovary;colon;parathyroid;fovea centralis;choroid;skin;retina;bone marrow;uterus;prostate;optic nerve;whole body;frontal lobe;cochlea;endometrium;larynx;bone;thyroid;testis;germinal center;brain;pineal gland;unclassifiable (Anatomical System);lymph node;cartilage;heart;islets of Langerhans;urinary;adrenal cortex;blood;lens;skeletal muscle;breast;pancreas;lung;adrenal gland;placenta;macula lutea;visual apparatus;liver;spleen;head and neck;kidney;mammary gland;stomach;thymus;</t>
  </si>
  <si>
    <t xml:space="preserve">ADAMTS17</t>
  </si>
  <si>
    <t xml:space="preserve">TISSUE SPECIFICITY: Isoform 1 and isoform 2 are expressed at high levels in the lung, brain, whole eye and retina. Isoform 1 shows a weaker expression in the heart, kidney and skeletal muscle. Isoform 2 shows a weaker expression in the kidney, bone marrow and skeletal muscle. Isoform 1 and isoform 2 are expressed at high levels in the fetal heart, kidney, and whole eye, whereas a weak expression is seen in the fetal liver. {ECO:0000269|PubMed:19836009}.; </t>
  </si>
  <si>
    <t xml:space="preserve">unclassifiable (Anatomical System);lung;testis;germinal center;thymus;</t>
  </si>
  <si>
    <t xml:space="preserve">dorsal root ganglion;superior cervical ganglion;subthalamic nucleus;globus pallidus;ciliary ganglion;caudate nucleus;atrioventricular node;kidney;trigeminal ganglion;skeletal muscle;</t>
  </si>
  <si>
    <t xml:space="preserve">ADGRV1</t>
  </si>
  <si>
    <t xml:space="preserve">TISSUE SPECIFICITY: Expressed at low levels in adult tissues. {ECO:0000269|PubMed:10976914}.; </t>
  </si>
  <si>
    <t xml:space="preserve">PTPN22</t>
  </si>
  <si>
    <t xml:space="preserve">protein tyrosine phosphatase, non-receptor type 22</t>
  </si>
  <si>
    <t xml:space="preserve">TISSUE SPECIFICITY: Expressed in bone marrow, B and T-cells, PBMCs, natural killer cells, monocytes, dendritic cells and neutrophils (PubMed:15208781). Both isoform 1 and 4 are predominantly expressed in lymphoid tissues and cells. Isoform 1 is expressed in thymocytes and both mature B and T-cells. {ECO:0000269|PubMed:15208781}.; </t>
  </si>
  <si>
    <t xml:space="preserve">unclassifiable (Anatomical System);lymph node;lung;adrenal gland;nasopharynx;thyroid;testis;colon;germinal center;skeletal muscle;bone marrow;</t>
  </si>
  <si>
    <t xml:space="preserve">superior cervical ganglion;temporal lobe;globus pallidus;atrioventricular node;pons;trigeminal ganglion;</t>
  </si>
  <si>
    <t xml:space="preserve">SYNE1</t>
  </si>
  <si>
    <t xml:space="preserve">spectrin repeat containing, nuclear envelope 1</t>
  </si>
  <si>
    <t xml:space="preserve">TISSUE SPECIFICITY: Expressed in HeLa, A431, A172 and HaCaT cells (at protein level). Widely expressed. Highly expressed in skeletal and smooth muscles, heart, spleen, peripheral blood leukocytes, pancreas, cerebellum, stomach, kidney and placenta. Isoform GSRP- 56 is predominantly expressed in heart and skeletal muscle (at protein level). {ECO:0000269|PubMed:11792814, ECO:0000269|PubMed:11801724, ECO:0000269|PubMed:15093733, ECO:0000269|PubMed:16875688, ECO:0000269|PubMed:22518138}.; </t>
  </si>
  <si>
    <t xml:space="preserve">lymphoreticular;ovary;skin;bone marrow;retina;prostate;optic nerve;frontal lobe;endometrium;thyroid;germinal center;brain;heart;cartilage;spinal cord;blood;lens;skeletal muscle;breast;visual apparatus;macula lutea;liver;spleen;mammary gland;salivary gland;colon;parathyroid;choroid;fovea centralis;uterus;whole body;cerebral cortex;bone;testis;artery;unclassifiable (Anatomical System);islets of Langerhans;hypothalamus;muscle;lung;adrenal gland;nasopharynx;placenta;hippocampus;hypopharynx;head and neck;kidney;stomach;aorta;cerebellum;</t>
  </si>
  <si>
    <t xml:space="preserve">dorsal root ganglion;superior cervical ganglion;medulla oblongata;cerebellum peduncles;atrioventricular node;pons;skeletal muscle;subthalamic nucleus;prefrontal cortex;globus pallidus;appendix;ciliary ganglion;trigeminal ganglion;parietal lobe;cingulate cortex;</t>
  </si>
  <si>
    <t xml:space="preserve">ASAH1</t>
  </si>
  <si>
    <t xml:space="preserve">TISSUE SPECIFICITY: Broadly expressed with highest expression in heart.; </t>
  </si>
  <si>
    <t xml:space="preserve">lymphoreticular;ovary;sympathetic chain;skin;bone marrow;retina;prostate;optic nerve;frontal lobe;endometrium;thyroid;bladder;brain;heart;cartilage;urinary;adrenal cortex;pharynx;blood;lens;skeletal muscle;breast;trabecular meshwork;macula lutea;liver;spleen;cervix;mammary gland;salivary gland;intestine;colon;parathyroid;fovea centralis;choroid;uterus;whole body;atrium;bone;pituitary gland;testis;unclassifiable (Anatomical System);islets of Langerhans;hypothalamus;pancreas;lung;adrenal gland;nasopharynx;placenta;head and neck;kidney;stomach;aorta;thymus;</t>
  </si>
  <si>
    <t xml:space="preserve">amygdala;superior cervical ganglion;thyroid;spinal cord;kidney;whole blood;</t>
  </si>
  <si>
    <t xml:space="preserve">ZMYND15</t>
  </si>
  <si>
    <t xml:space="preserve">unclassifiable (Anatomical System);uterus;lung;cartilage;ovary;islets of Langerhans;testis;pharynx;kidney;brain;skin;stomach;</t>
  </si>
  <si>
    <t xml:space="preserve">testis - interstitial;medulla oblongata;testis - seminiferous tubule;testis;</t>
  </si>
  <si>
    <t xml:space="preserve">CYP2U1</t>
  </si>
  <si>
    <t xml:space="preserve">TISSUE SPECIFICITY: Widely expressed with stronger expression in thymus, heart and cerebellum. {ECO:0000269|PubMed:14660610, ECO:0000269|PubMed:14975754, ECO:0000269|PubMed:15752708}.; </t>
  </si>
  <si>
    <t xml:space="preserve">unclassifiable (Anatomical System);cartilage;heart;islets of Langerhans;colon;parathyroid;fovea centralis;choroid;lens;skin;retina;uterus;prostate;optic nerve;whole body;lung;endometrium;macula lutea;iris;testis;germinal center;kidney;brain;stomach;thymus;</t>
  </si>
  <si>
    <t xml:space="preserve">KCNJ13</t>
  </si>
  <si>
    <t xml:space="preserve">TISSUE SPECIFICITY: Predominantly expressed in small intestine. Expression is also detected in stomach, kidney, and all central nervous system regions tested with the exception of spinal cord.; </t>
  </si>
  <si>
    <t xml:space="preserve">ovary;parathyroid;choroid;fovea centralis;skin;retina;uterus;prostate;optic nerve;iris;testis;dura mater;unclassifiable (Anatomical System);meninges;heart;adrenal cortex;lens;skeletal muscle;lung;pia mater;placenta;hippocampus;visual apparatus;macula lutea;liver;kidney;</t>
  </si>
  <si>
    <t xml:space="preserve">CACNA1D</t>
  </si>
  <si>
    <t xml:space="preserve">TISSUE SPECIFICITY: Expressed in pancreatic islets and in brain, where it has been seen in cerebral cortex, hippocampus, basal ganglia, habenula and thalamus. Expressed in the small cell lung carcinoma cell line SCC-9. No expression in skeletal muscle. {ECO:0000269|PubMed:1335101}.; </t>
  </si>
  <si>
    <t xml:space="preserve">unclassifiable (Anatomical System);prostate;optic nerve;lung;heart;adrenal gland;islets of Langerhans;macula lutea;colon;spleen;fovea centralis;choroid;lens;brain;retina;</t>
  </si>
  <si>
    <t xml:space="preserve">superior cervical ganglion;globus pallidus;ciliary ganglion;atrioventricular node;pons;trigeminal ganglion;cingulate cortex;parietal lobe;</t>
  </si>
  <si>
    <t xml:space="preserve">IFT140</t>
  </si>
  <si>
    <t xml:space="preserve">ovary;colon;parathyroid;fovea centralis;choroid;skin;retina;bone marrow;uterus;prostate;frontal lobe;endometrium;thyroid;bone;testis;brain;tonsil;unclassifiable (Anatomical System);lymph node;cartilage;heart;blood;lens;breast;pancreas;lung;epididymis;placenta;macula lutea;visual apparatus;duodenum;kidney;mammary gland;stomach;thymus;</t>
  </si>
  <si>
    <t xml:space="preserve">superior cervical ganglion;skeletal muscle;</t>
  </si>
  <si>
    <t xml:space="preserve">PTPRC</t>
  </si>
  <si>
    <t xml:space="preserve">ovary;colon;skin;bone marrow;uterus;prostate;whole body;cerebral cortex;endometrium;bone;thyroid;testis;germinal center;brain;unclassifiable (Anatomical System);lymph node;cartilage;heart;islets of Langerhans;adrenal cortex;blood;skeletal muscle;breast;pancreas;lung;adrenal gland;nasopharynx;placenta;liver;spleen;head and neck;kidney;stomach;aorta;thymus;</t>
  </si>
  <si>
    <t xml:space="preserve">lymph node;white blood cells;whole blood;tonsil;thymus;</t>
  </si>
  <si>
    <t xml:space="preserve">ATR</t>
  </si>
  <si>
    <t xml:space="preserve">TISSUE SPECIFICITY: Ubiquitous, with highest expression in testis. Isoform 2 is found in pancreas, placenta and liver but not in heart, testis and ovary. {ECO:0000269|PubMed:11470508, ECO:0000269|PubMed:8610130, ECO:0000269|PubMed:8843195}.; </t>
  </si>
  <si>
    <t xml:space="preserve">ovary;colon;parathyroid;skin;uterus;prostate;whole body;frontal lobe;endometrium;bone;testis;germinal center;spinal ganglion;brain;unclassifiable (Anatomical System);lymph node;heart;tongue;islets of Langerhans;blood;skeletal muscle;breast;pancreas;lung;placenta;visual apparatus;liver;alveolus;head and neck;kidney;mammary gland;stomach;peripheral nerve;</t>
  </si>
  <si>
    <t xml:space="preserve">amygdala;superior cervical ganglion;medulla oblongata;testis - interstitial;thyroid;globus pallidus;white blood cells;ciliary ganglion;pons;skeletal muscle;pituitary;</t>
  </si>
  <si>
    <t xml:space="preserve">RECQL4</t>
  </si>
  <si>
    <t xml:space="preserve">TISSUE SPECIFICITY: Ubiquitously expressed, with highest levels in thymus and testis. {ECO:0000269|PubMed:9878247}.; </t>
  </si>
  <si>
    <t xml:space="preserve">unclassifiable (Anatomical System);ovary;muscle;colon;skin;uterus;lung;endometrium;visual apparatus;testis;spleen;germinal center;brain;stomach;</t>
  </si>
  <si>
    <t xml:space="preserve">skeletal muscle;</t>
  </si>
  <si>
    <t xml:space="preserve">KIZ</t>
  </si>
  <si>
    <t xml:space="preserve">RP1</t>
  </si>
  <si>
    <t xml:space="preserve">TISSUE SPECIFICITY: Expressed in retina. Not expressed in heart, brain, placenta, lung, liver, skeletal muscle, kidney, spleen and pancreas.; </t>
  </si>
  <si>
    <t xml:space="preserve">unclassifiable (Anatomical System);breast;macula lutea;fovea centralis;skeletal muscle;retina;</t>
  </si>
  <si>
    <t xml:space="preserve">superior cervical ganglion;ciliary ganglion;</t>
  </si>
  <si>
    <t xml:space="preserve">PLAU</t>
  </si>
  <si>
    <t xml:space="preserve">0.00055026957460409</t>
  </si>
  <si>
    <t xml:space="preserve">plasminogen activator, urokinase</t>
  </si>
  <si>
    <t xml:space="preserve">TISSUE SPECIFICITY: Expressed in the prostate gland and prostate cancers. {ECO:0000269|PubMed:15988036}.; </t>
  </si>
  <si>
    <t xml:space="preserve">PNPO</t>
  </si>
  <si>
    <t xml:space="preserve">ovary;salivary gland;sympathetic chain;colon;fovea centralis;choroid;skin;retina;uterus;prostate;optic nerve;frontal lobe;brain;unclassifiable (Anatomical System);lymph node;heart;cartilage;hypothalamus;muscle;blood;lens;skeletal muscle;breast;pancreas;lung;placenta;macula lutea;visual apparatus;liver;spleen;kidney;mammary gland;stomach;</t>
  </si>
  <si>
    <t xml:space="preserve">superior cervical ganglion;trigeminal ganglion;skeletal muscle;</t>
  </si>
  <si>
    <t xml:space="preserve">PCSK1</t>
  </si>
  <si>
    <t xml:space="preserve">unclassifiable (Anatomical System);ovary;cartilage;islets of Langerhans;hypothalamus;fovea centralis;retina;breast;lung;bone;macula lutea;hippocampus;pituitary gland;testis;brain;stomach;</t>
  </si>
  <si>
    <t xml:space="preserve">amygdala;whole brain;occipital lobe;medulla oblongata;subthalamic nucleus;hypothalamus;beta cell islets;prefrontal cortex;globus pallidus;ciliary ganglion;pons;parietal lobe;pituitary;</t>
  </si>
  <si>
    <t xml:space="preserve">LAMA1</t>
  </si>
  <si>
    <t xml:space="preserve">ovary;salivary gland;colon;fovea centralis;choroid;skin;retina;bone marrow;uterus;prostate;optic nerve;whole body;thyroid;bone;testis;brain;bladder;unclassifiable (Anatomical System);heart;cartilage;pharynx;blood;lens;skeletal muscle;breast;lung;cornea;placenta;macula lutea;visual apparatus;liver;hypopharynx;head and neck;kidney;</t>
  </si>
  <si>
    <t xml:space="preserve">dorsal root ganglion;subthalamic nucleus;superior cervical ganglion;testis - seminiferous tubule;globus pallidus;testis;ciliary ganglion;pons;atrioventricular node;trigeminal ganglion;</t>
  </si>
  <si>
    <t xml:space="preserve">DMXL2</t>
  </si>
  <si>
    <t xml:space="preserve">unclassifiable (Anatomical System);heart;islets of Langerhans;hypothalamus;muscle;blood;skeletal muscle;bone marrow;breast;uterus;prostate;lung;frontal lobe;endometrium;larynx;placenta;pituitary gland;liver;testis;head and neck;germinal center;kidney;brain;aorta;stomach;</t>
  </si>
  <si>
    <t xml:space="preserve">amygdala;dorsal root ganglion;superior cervical ganglion;ciliary ganglion;atrioventricular node;trigeminal ganglion;</t>
  </si>
  <si>
    <t xml:space="preserve">CECR1</t>
  </si>
  <si>
    <t xml:space="preserve">TISSUE SPECIFICITY: Detected in blood plasma (at protein level). Widely expressed, with most abundant expression in human adult heart, lung, lymphoblasts, and placenta as well as fetal lung, liver, and kidney. In embryo, expressed in the outflow tract and atrium of the developing heart, the VII/VIII cranial nerve ganglion, and the notochord. {ECO:0000269|PubMed:15926889}.; </t>
  </si>
  <si>
    <t xml:space="preserve">unclassifiable (Anatomical System);breast;uterus;lymph node;lung;heart;ovary;nasopharynx;placenta;iris;testis;brain;skeletal muscle;</t>
  </si>
  <si>
    <t xml:space="preserve">white blood cells;whole blood;</t>
  </si>
  <si>
    <t xml:space="preserve">PAH</t>
  </si>
  <si>
    <t xml:space="preserve">unclassifiable (Anatomical System);lung;whole body;islets of Langerhans;liver;testis;spleen;kidney;mammary gland;gall bladder;</t>
  </si>
  <si>
    <t xml:space="preserve">superior cervical ganglion;fetal liver;liver;ciliary ganglion;kidney;</t>
  </si>
  <si>
    <t xml:space="preserve">PEX3</t>
  </si>
  <si>
    <t xml:space="preserve">TISSUE SPECIFICITY: Found in all examined tissues.; </t>
  </si>
  <si>
    <t xml:space="preserve">lymphoreticular;parathyroid;skin;uterus;prostate;endometrium;testis;amniotic fluid;germinal center;brain;unclassifiable (Anatomical System);lymph node;heart;cartilage;hypothalamus;pineal body;blood;skeletal muscle;breast;pancreas;lung;visual apparatus;liver;spleen;kidney;stomach;</t>
  </si>
  <si>
    <t xml:space="preserve">testis - interstitial;superior cervical ganglion;testis - seminiferous tubule;testis;appendix;ciliary ganglion;pons;atrioventricular node;trigeminal ganglion;skeletal muscle;cingulate cortex;</t>
  </si>
  <si>
    <t xml:space="preserve">FBXO7</t>
  </si>
  <si>
    <t xml:space="preserve">lymphoreticular;ovary;skin;retina;bone marrow;prostate;optic nerve;frontal lobe;submandibular gland;thyroid;germinal center;bladder;brain;gall bladder;tonsil;heart;cartilage;adrenal cortex;pharynx;blood;lens;skeletal muscle;breast;visual apparatus;liver;alveolus;spleen;cervix;mammary gland;salivary gland;intestine;colon;choroid;vein;uterus;whole body;bone;testis;dura mater;unclassifiable (Anatomical System);meninges;lymph node;lacrimal gland;hypothalamus;muscle;lung;pia mater;placenta;duodenum;hypopharynx;head and neck;kidney;stomach;thymus;</t>
  </si>
  <si>
    <t xml:space="preserve">superior cervical ganglion;fetal liver;testis - interstitial;testis - seminiferous tubule;testis;parietal lobe;bone marrow;</t>
  </si>
  <si>
    <t xml:space="preserve">PRSS1</t>
  </si>
  <si>
    <t xml:space="preserve">pancreas;islets of Langerhans;liver;colon;spleen;</t>
  </si>
  <si>
    <t xml:space="preserve">superior cervical ganglion;pancreas;beta cell islets;ciliary ganglion;bone marrow;</t>
  </si>
  <si>
    <t xml:space="preserve">GJA1</t>
  </si>
  <si>
    <t xml:space="preserve">TISSUE SPECIFICITY: Expressed in the heart and fetal cochlea. {ECO:0000269|PubMed:11741837}.; </t>
  </si>
  <si>
    <t xml:space="preserve">smooth muscle;ovary;colon;parathyroid;skin;retina;bone marrow;uterus;prostate;whole body;frontal lobe;cochlea;larynx;bone;thyroid;testis;dura mater;spinal ganglion;brain;artery;unclassifiable (Anatomical System);amygdala;meninges;heart;islets of Langerhans;hypothalamus;adrenal cortex;lens;skeletal muscle;breast;pia mater;lung;adrenal gland;mesenchyma;trabecular meshwork;placenta;visual apparatus;hippocampus;hypopharynx;liver;amnion;head and neck;mammary gland;stomach;aorta;</t>
  </si>
  <si>
    <t xml:space="preserve">amygdala;adrenal gland;hypothalamus;spinal cord;prefrontal cortex;caudate nucleus;</t>
  </si>
  <si>
    <t xml:space="preserve">CHRNA1</t>
  </si>
  <si>
    <t xml:space="preserve">TISSUE SPECIFICITY: Isoform 1 is only expressed in skeletal muscle. Isoform 2 is constitutively expressed in skeletal muscle, brain, heart, kidney, liver, lung and thymus.; </t>
  </si>
  <si>
    <t xml:space="preserve">unclassifiable (Anatomical System);ovary;heart;tongue;larynx;bone;placenta;visual apparatus;muscle;liver;parathyroid;head and neck;skin;</t>
  </si>
  <si>
    <t xml:space="preserve">dorsal root ganglion;uterus corpus;superior cervical ganglion;appendix;testis;ciliary ganglion;atrioventricular node;trigeminal ganglion;skeletal muscle;skin;</t>
  </si>
  <si>
    <t xml:space="preserve">MTAP</t>
  </si>
  <si>
    <t xml:space="preserve">TISSUE SPECIFICITY: Ubiquitously expressed.; </t>
  </si>
  <si>
    <t xml:space="preserve">SNCA</t>
  </si>
  <si>
    <t xml:space="preserve">TISSUE SPECIFICITY: Expressed principally in brain but is also expressed in low concentrations in all tissues examined except in liver. Concentrated in presynaptic nerve terminals.; </t>
  </si>
  <si>
    <t xml:space="preserve">myocardium;ovary;salivary gland;colon;skin;uterus;prostate;whole body;frontal lobe;endometrium;bone;iris;testis;brain;bladder;amygdala;unclassifiable (Anatomical System);heart;islets of Langerhans;hypothalamus;pharynx;blood;breast;lung;adrenal gland;placenta;visual apparatus;liver;duodenum;spleen;kidney;mammary gland;</t>
  </si>
  <si>
    <t xml:space="preserve">amygdala;whole brain;dorsal root ganglion;superior cervical ganglion;medulla oblongata;occipital lobe;olfactory bulb;temporal lobe;atrioventricular node;pons;skin;bone marrow;subthalamic nucleus;fetal liver;prefrontal cortex;globus pallidus;appendix;ciliary ganglion;trigeminal ganglion;parietal lobe;cingulate cortex;</t>
  </si>
  <si>
    <t xml:space="preserve">COL4A6</t>
  </si>
  <si>
    <t xml:space="preserve">unclassifiable (Anatomical System);heart;fovea centralis;choroid;lens;skeletal muscle;skin;retina;uterus;prostate;optic nerve;whole body;lung;endometrium;macula lutea;visual apparatus;testis;cervix;brain;mammary gland;stomach;</t>
  </si>
  <si>
    <t xml:space="preserve">dorsal root ganglion;thalamus;uterus corpus;superior cervical ganglion;globus pallidus;appendix;ciliary ganglion;atrioventricular node;trigeminal ganglion;skeletal muscle;</t>
  </si>
  <si>
    <t xml:space="preserve">TSHR</t>
  </si>
  <si>
    <t xml:space="preserve">TISSUE SPECIFICITY: Expressed in the thyroid. {ECO:0000269|PubMed:2610690}.; </t>
  </si>
  <si>
    <t xml:space="preserve">unclassifiable (Anatomical System);lung;ovary;thyroid;blood;head and neck;brain;skeletal muscle;bone marrow;</t>
  </si>
  <si>
    <t xml:space="preserve">superior cervical ganglion;thyroid;globus pallidus;ciliary ganglion;pons;atrioventricular node;fetal thyroid;trigeminal ganglion;skeletal muscle;thymus;</t>
  </si>
  <si>
    <t xml:space="preserve">NAGPA</t>
  </si>
  <si>
    <t xml:space="preserve">TISSUE SPECIFICITY: Isoform 2 may be brain-specific.; </t>
  </si>
  <si>
    <t xml:space="preserve">ovary;colon;parathyroid;skin;bone marrow;uterus;prostate;endometrium;bone;testis;brain;tonsil;unclassifiable (Anatomical System);lymph node;cartilage;heart;islets of Langerhans;blood;breast;pancreas;lung;mesenchyma;placenta;visual apparatus;hippocampus;liver;alveolus;spleen;cervix;kidney;mammary gland;stomach;</t>
  </si>
  <si>
    <t xml:space="preserve">whole brain;amygdala;medulla oblongata;occipital lobe;prefrontal cortex;cingulate cortex;parietal lobe;</t>
  </si>
  <si>
    <t xml:space="preserve">FKBP6</t>
  </si>
  <si>
    <t xml:space="preserve">FK506 binding protein 6</t>
  </si>
  <si>
    <t xml:space="preserve">TISSUE SPECIFICITY: Detected in all tissues examined, with higher expression in testis, heart, skeletal muscle, liver, and kidney.; </t>
  </si>
  <si>
    <t xml:space="preserve">unclassifiable (Anatomical System);medulla oblongata;lung;ovary;placenta;testis;cervix;brain;</t>
  </si>
  <si>
    <t xml:space="preserve">testis - interstitial;testis - seminiferous tubule;testis;</t>
  </si>
  <si>
    <t xml:space="preserve">MET</t>
  </si>
  <si>
    <t xml:space="preserve">TISSUE SPECIFICITY: Expressed in normal hepatocytes as well as in epithelial cells lining the stomach, the small and the large intestine. Found also in basal keratinocytes of esophagus and skin. High levels are found in liver, gastrointestinal tract, thyroid and kidney. Also present in the brain. {ECO:0000269|PubMed:1719465, ECO:0000269|PubMed:1917129}.; </t>
  </si>
  <si>
    <t xml:space="preserve">smooth muscle;ovary;salivary gland;intestine;colon;choroid;skin;retina;bone marrow;uterus;prostate;whole body;frontal lobe;cochlea;endometrium;larynx;bone;thyroid;testis;germinal center;brain;bladder;unclassifiable (Anatomical System);cartilage;heart;lacrimal gland;pharynx;blood;lens;skeletal muscle;breast;lung;placenta;visual apparatus;liver;spleen;head and neck;cervix;kidney;mammary gland;aorta;stomach;</t>
  </si>
  <si>
    <t xml:space="preserve">dorsal root ganglion;fetal liver;superior cervical ganglion;thyroid;placenta;globus pallidus;appendix;fetal lung;ciliary ganglion;atrioventricular node;trigeminal ganglion;skeletal muscle;</t>
  </si>
  <si>
    <t xml:space="preserve">USP6</t>
  </si>
  <si>
    <t xml:space="preserve">TISSUE SPECIFICITY: Testis specific. Expressed in various cancer cell lines. {ECO:0000269|PubMed:12604796, ECO:0000269|PubMed:1565468}.; </t>
  </si>
  <si>
    <t xml:space="preserve">myocardium;ovary;salivary gland;sympathetic chain;colon;fovea centralis;choroid;skin;retina;uterus;optic nerve;atrium;whole body;frontal lobe;endometrium;larynx;bone;testis;germinal center;brain;unclassifiable (Anatomical System);heart;islets of Langerhans;lens;skeletal muscle;breast;pancreas;lung;adrenal gland;placenta;macula lutea;head and neck;mammary gland;stomach;</t>
  </si>
  <si>
    <t xml:space="preserve">amygdala;testis - interstitial;subthalamic nucleus;fetal brain;testis - seminiferous tubule;prefrontal cortex;testis;atrioventricular node;parietal lobe;</t>
  </si>
  <si>
    <t xml:space="preserve">PCM1</t>
  </si>
  <si>
    <t xml:space="preserve">TISSUE SPECIFICITY: Expressed in blood, bone marrow, breast, lymph node, ovary and thyroid. {ECO:0000269|PubMed:10980597, ECO:0000269|PubMed:15184884, ECO:0000269|PubMed:16270321, ECO:0000269|PubMed:16424865}.; </t>
  </si>
  <si>
    <t xml:space="preserve">myocardium;lymphoreticular;smooth muscle;ovary;skin;bone marrow;retina;prostate;frontal lobe;endometrium;cochlea;thyroid;amniotic fluid;germinal center;brain;amygdala;heart;cartilage;tongue;pharynx;blood;skeletal muscle;breast;macula lutea;visual apparatus;liver;spleen;cervix;mammary gland;colon;parathyroid;fovea centralis;uterus;whole body;larynx;bone;pituitary gland;testis;spinal ganglion;unclassifiable (Anatomical System);lymph node;lacrimal gland;islets of Langerhans;bile duct;pancreas;lung;adrenal gland;nasopharynx;placenta;head and neck;kidney;stomach;aorta;thymus;cerebellum;</t>
  </si>
  <si>
    <t xml:space="preserve">testis - interstitial;superior cervical ganglion;occipital lobe;testis - seminiferous tubule;prefrontal cortex;testis;caudate nucleus;atrioventricular node;pons;trigeminal ganglion;cingulate cortex;skeletal muscle;</t>
  </si>
  <si>
    <t xml:space="preserve">NCOA1</t>
  </si>
  <si>
    <t xml:space="preserve">TISSUE SPECIFICITY: Widely expressed. {ECO:0000269|PubMed:15313887, ECO:0000269|PubMed:9427757}.; </t>
  </si>
  <si>
    <t xml:space="preserve">ovary;colon;parathyroid;fovea centralis;choroid;skin;retina;bone marrow;uterus;prostate;optic nerve;whole body;frontal lobe;thyroid;testis;germinal center;spinal ganglion;brain;tonsil;unclassifiable (Anatomical System);lymph node;heart;urinary;blood;lens;skeletal muscle;breast;lung;adrenal gland;trabecular meshwork;placenta;macula lutea;visual apparatus;hippocampus;liver;spleen;kidney;mammary gland;stomach;aorta;</t>
  </si>
  <si>
    <t xml:space="preserve">amygdala;subthalamic nucleus;occipital lobe;medulla oblongata;superior cervical ganglion;fetal brain;prefrontal cortex;globus pallidus;pons;trigeminal ganglion;cingulate cortex;skeletal muscle;parietal lobe;</t>
  </si>
  <si>
    <t xml:space="preserve">MALT1</t>
  </si>
  <si>
    <t xml:space="preserve">TISSUE SPECIFICITY: Highly expressed in peripheral blood mononuclear cells. Detected at lower levels in bone marrow, thymus and lymph node, and at very low levels in colon and lung.; </t>
  </si>
  <si>
    <t xml:space="preserve">unclassifiable (Anatomical System);cartilage;islets of Langerhans;urinary;colon;skeletal muscle;breast;bile duct;prostate;pancreas;lung;endometrium;bone;placenta;visual apparatus;liver;testis;spleen;germinal center;kidney;mammary gland;artery;aorta;peripheral nerve;</t>
  </si>
  <si>
    <t xml:space="preserve">dorsal root ganglion;superior cervical ganglion;testis - interstitial;testis - seminiferous tubule;testis;tumor;white blood cells;ciliary ganglion;atrioventricular node;tonsil;skeletal muscle;</t>
  </si>
  <si>
    <t xml:space="preserve">GOPC</t>
  </si>
  <si>
    <t xml:space="preserve">TISSUE SPECIFICITY: Ubiquitously expressed. {ECO:0000269|PubMed:11162552, ECO:0000269|PubMed:11384996, ECO:0000269|PubMed:11707463}.; </t>
  </si>
  <si>
    <t xml:space="preserve">smooth muscle;ovary;salivary gland;developmental;intestine;colon;parathyroid;fovea centralis;choroid;skin;retina;uterus;prostate;optic nerve;whole body;cochlea;oesophagus;endometrium;bone;thyroid;testis;germinal center;brain;artery;bladder;unclassifiable (Anatomical System);cartilage;heart;epidermis;tongue;islets of Langerhans;adrenal cortex;pharynx;blood;lens;skeletal muscle;breast;lung;placenta;macula lutea;visual apparatus;liver;head and neck;kidney;mammary gland;aorta;stomach;</t>
  </si>
  <si>
    <t xml:space="preserve">ATP13A4</t>
  </si>
  <si>
    <t xml:space="preserve">ATPase 13A4</t>
  </si>
  <si>
    <t xml:space="preserve">TISSUE SPECIFICITY: Expressed in heart, placenta, liver, skeletal muscles, and pancreas. Lower levels of expression are also detected in brain, lung and kidney. Weakly expressed in the adult brain. Expression in fetal brain is higher than in adult brain, with levels similar to several other fetal tissues including spleen and skeletal muscle. In adult brain expressed at low levels in all tissues examined, including the temporal lobe and putamen. {ECO:0000269|PubMed:15925480}.; </t>
  </si>
  <si>
    <t xml:space="preserve">unclassifiable (Anatomical System);frontal lobe;larynx;thyroid;oral cavity;pituitary gland;head and neck;brain;skeletal muscle;stomach;tonsil;</t>
  </si>
  <si>
    <t xml:space="preserve">dorsal root ganglion;superior cervical ganglion;ciliary ganglion;pons;atrioventricular node;trigeminal ganglion;</t>
  </si>
  <si>
    <t xml:space="preserve">AFF4</t>
  </si>
  <si>
    <t xml:space="preserve">TISSUE SPECIFICITY: Ubiquitously expressed. Strongly expressed in heart, placenta, skeletal muscle, pancreas and to a lower extent in brain. {ECO:0000269|PubMed:10588740, ECO:0000269|PubMed:12065898}.; </t>
  </si>
  <si>
    <t xml:space="preserve">medulla oblongata;ovary;sympathetic chain;fovea centralis;choroid;skin;retina;bone marrow;uterus;prostate;optic nerve;frontal lobe;larynx;pituitary gland;testis;amniotic fluid;germinal center;tonsil;unclassifiable (Anatomical System);cartilage;heart;tongue;blood;lens;skeletal muscle;breast;pancreas;lung;placenta;macula lutea;visual apparatus;hippocampus;liver;spleen;head and neck;cervix;kidney;mammary gland;stomach;aorta;</t>
  </si>
  <si>
    <t xml:space="preserve">dorsal root ganglion;superior cervical ganglion;testis - interstitial;testis - seminiferous tubule;appendix;testis;atrioventricular node;skeletal muscle;</t>
  </si>
  <si>
    <t xml:space="preserve">ACSL6</t>
  </si>
  <si>
    <t xml:space="preserve">TISSUE SPECIFICITY: Expressed predominantly in erythrocyte precursors, in particular in reticulocytes, fetal blood cells derived from fetal liver, hemopoietic stem cells from cord blood, bone marrow and brain. {ECO:0000269|PubMed:10548543}.; </t>
  </si>
  <si>
    <t xml:space="preserve">unclassifiable (Anatomical System);ovary;heart;parathyroid;blood;fovea centralis;choroid;lens;skeletal muscle;skin;retina;uterus;prostate;optic nerve;lung;placenta;macula lutea;hippocampus;liver;testis;spleen;brain;</t>
  </si>
  <si>
    <t xml:space="preserve">amygdala;superior cervical ganglion;testis;skeletal muscle;</t>
  </si>
  <si>
    <t xml:space="preserve">NAV3</t>
  </si>
  <si>
    <t xml:space="preserve">TISSUE SPECIFICITY: Highly expressed in brain. Expressed at low levels in heart and placenta. Present in activated T-cells but not in resting T-cells (at protein level). Down-regulated in primary neuroblastoma. {ECO:0000269|PubMed:12062803, ECO:0000269|PubMed:12079279, ECO:0000269|PubMed:15158073, ECO:0000269|PubMed:16166283}.; </t>
  </si>
  <si>
    <t xml:space="preserve">ovary;parathyroid;fovea centralis;choroid;skin;retina;uterus;optic nerve;whole body;frontal lobe;cochlea;larynx;bone;testis;dura mater;brain;unclassifiable (Anatomical System);meninges;heart;cartilage;hypothalamus;lens;skeletal muscle;lung;pia mater;placenta;macula lutea;visual apparatus;hypopharynx;head and neck;stomach;</t>
  </si>
  <si>
    <t xml:space="preserve">whole brain;amygdala;dorsal root ganglion;thalamus;medulla oblongata;superior cervical ganglion;occipital lobe;olfactory bulb;adipose tissue;cerebellum peduncles;hypothalamus;spinal cord;temporal lobe;atrioventricular node;caudate nucleus;pons;skeletal muscle;subthalamic nucleus;fetal brain;prefrontal cortex;globus pallidus;ciliary ganglion;trigeminal ganglion;cingulate cortex;parietal lobe;cerebellum;</t>
  </si>
  <si>
    <t xml:space="preserve">SMPD1</t>
  </si>
  <si>
    <t xml:space="preserve">ovary;colon;parathyroid;fovea centralis;choroid;skin;retina;bone marrow;prostate;optic nerve;whole body;frontal lobe;thyroid;bone;testis;brain;unclassifiable (Anatomical System);cartilage;heart;islets of Langerhans;blood;lens;skeletal muscle;breast;pancreas;lung;cornea;epididymis;placenta;macula lutea;visual apparatus;liver;duodenum;spleen;kidney;mammary gland;stomach;aorta;</t>
  </si>
  <si>
    <t xml:space="preserve">dorsal root ganglion;parietal lobe;</t>
  </si>
  <si>
    <t xml:space="preserve">MTHFD1</t>
  </si>
  <si>
    <t xml:space="preserve">TISSUE SPECIFICITY: Ubiquitous.; </t>
  </si>
  <si>
    <t xml:space="preserve">ovary;salivary gland;sympathetic chain;intestine;colon;parathyroid;skin;retina;bone marrow;uterus;prostate;frontal lobe;endometrium;bone;thyroid;iris;testis;amniotic fluid;germinal center;brain;bladder;unclassifiable (Anatomical System);lymph node;heart;islets of Langerhans;hypothalamus;spinal cord;muscle;pharynx;blood;lens;skeletal muscle;breast;bile duct;lung;nasopharynx;placenta;visual apparatus;liver;spleen;cervix;kidney;mammary gland;stomach;</t>
  </si>
  <si>
    <t xml:space="preserve">superior cervical ganglion;liver;kidney;skeletal muscle;</t>
  </si>
  <si>
    <t xml:space="preserve">PLCE1</t>
  </si>
  <si>
    <t xml:space="preserve">TISSUE SPECIFICITY: Widely expressed. Isoform 1 is broadly expressed and only absent in peripheral blood leukocytes. Isoform 2 is specifically expressed in placenta, lung and spleen. {ECO:0000269|PubMed:11022047, ECO:0000269|PubMed:11022048, ECO:0000269|PubMed:15558028}.; </t>
  </si>
  <si>
    <t xml:space="preserve">colon;parathyroid;skin;retina;uterus;prostate;cochlea;larynx;thyroid;bone;iris;testis;pineal gland;brain;unclassifiable (Anatomical System);heart;cartilage;islets of Langerhans;adrenal cortex;lens;skeletal muscle;lung;adrenal gland;placenta;visual apparatus;liver;head and neck;kidney;stomach;</t>
  </si>
  <si>
    <t xml:space="preserve">pons;atrioventricular node;trigeminal ganglion;</t>
  </si>
  <si>
    <t xml:space="preserve">TPM3</t>
  </si>
  <si>
    <t xml:space="preserve">lymphoreticular;umbilical cord;ovary;skin;retina;bone marrow;prostate;optic nerve;frontal lobe;cochlea;endometrium;gum;thyroid;amniotic fluid;germinal center;brain;bladder;tonsil;gall bladder;cartilage;heart;adrenal cortex;pharynx;blood;lens;skeletal muscle;breast;visual apparatus;alveolus;liver;spleen;cervix;mammary gland;salivary gland;intestine;colon;parathyroid;choroid;vein;uterus;whole body;oesophagus;larynx;bone;testis;unclassifiable (Anatomical System);trophoblast;lymph node;islets of Langerhans;oral cavity;muscle;bile duct;pancreas;lung;nasopharynx;placenta;duodenum;head and neck;kidney;aorta;stomach;cerebellum;thymus;</t>
  </si>
  <si>
    <t xml:space="preserve">superior cervical ganglion;tongue;globus pallidus;atrioventricular node;trigeminal ganglion;skeletal muscle;</t>
  </si>
  <si>
    <t xml:space="preserve">LRP8</t>
  </si>
  <si>
    <t xml:space="preserve">TISSUE SPECIFICITY: Expressed mainly in brain and placenta. Also expressed in platelets and megakaryocytic cells. Not expressed in the liver. {ECO:0000269|PubMed:10218790, ECO:0000269|PubMed:10508213}.; </t>
  </si>
  <si>
    <t xml:space="preserve">ovary;salivary gland;colon;fovea centralis;choroid;retina;uterus;prostate;optic nerve;endometrium;larynx;thyroid;bone;testis;bladder;brain;unclassifiable (Anatomical System);amygdala;pharynx;blood;lens;breast;lung;placenta;macula lutea;visual apparatus;liver;spleen;head and neck;kidney;mammary gland;stomach;</t>
  </si>
  <si>
    <t xml:space="preserve">dorsal root ganglion;medulla oblongata;subthalamic nucleus;superior cervical ganglion;testis - seminiferous tubule;temporal lobe;testis;globus pallidus;atrioventricular node;pons;trigeminal ganglion;skeletal muscle;</t>
  </si>
  <si>
    <t xml:space="preserve">SNAP25</t>
  </si>
  <si>
    <t xml:space="preserve">TISSUE SPECIFICITY: Neurons of the neocortex, hippocampus, piriform cortex, anterior thalamic nuclei, pontine nuclei, and granule cells of the cerebellum.; </t>
  </si>
  <si>
    <t xml:space="preserve">sympathetic chain;fovea centralis;choroid;retina;optic nerve;whole body;frontal lobe;cerebral cortex;larynx;pituitary gland;testis;spinal ganglion;pineal gland;brain;unclassifiable (Anatomical System);amygdala;cerebellum cortex;islets of Langerhans;hypothalamus;lens;skeletal muscle;breast;lung;adrenal gland;macula lutea;hippocampus;visual apparatus;liver;spleen;head and neck;kidney;cerebellum;</t>
  </si>
  <si>
    <t xml:space="preserve">whole brain;amygdala;superior cervical ganglion;thalamus;medulla oblongata;occipital lobe;cerebellum peduncles;hypothalamus;temporal lobe;spinal cord;caudate nucleus;pons;subthalamic nucleus;fetal brain;prefrontal cortex;globus pallidus;ciliary ganglion;cingulate cortex;pituitary;parietal lobe;cerebellum;</t>
  </si>
  <si>
    <t xml:space="preserve">ALG14</t>
  </si>
  <si>
    <t xml:space="preserve">ISPD</t>
  </si>
  <si>
    <t xml:space="preserve">TISSUE SPECIFICITY: Ubiquitously expressed, with high expression in brain. {ECO:0000269|PubMed:22522420}.; </t>
  </si>
  <si>
    <t xml:space="preserve">MMP2</t>
  </si>
  <si>
    <t xml:space="preserve">TISSUE SPECIFICITY: Produced by normal skin fibroblasts. PEX is expressed in a number of tumors including gliomas, breast and prostate. {ECO:0000269|PubMed:11751392}.; </t>
  </si>
  <si>
    <t xml:space="preserve">smooth muscle;ovary;skin;retina;prostate;optic nerve;endometrium;thyroid;iris;amniotic fluid;brain;gall bladder;heart;cartilage;tongue;urinary;spinal cord;lens;skeletal muscle;breast;epididymis;visual apparatus;macula lutea;liver;cervix;spleen;mammary gland;peripheral nerve;salivary gland;colon;choroid;fovea centralis;uterus;whole body;cerebral cortex;larynx;synovium;bone;testis;unclassifiable (Anatomical System);muscle;bile duct;pancreas;lung;placenta;hypopharynx;amnion;head and neck;kidney;aorta;stomach;</t>
  </si>
  <si>
    <t xml:space="preserve">uterus;superior cervical ganglion;uterus corpus;adipose tissue;smooth muscle;heart;placenta;appendix;testis;fetal lung;trigeminal ganglion;skin;</t>
  </si>
  <si>
    <t xml:space="preserve">SNX3</t>
  </si>
  <si>
    <t xml:space="preserve">smooth muscle;ovary;colon;parathyroid;fovea centralis;choroid;skin;bone marrow;uterus;prostate;whole body;cochlea;endometrium;bone;testis;brain;bladder;unclassifiable (Anatomical System);cartilage;heart;cerebellum cortex;tongue;islets of Langerhans;oral cavity;muscle;adrenal cortex;blood;skeletal muscle;breast;pancreas;lung;cornea;trabecular meshwork;placenta;macula lutea;visual apparatus;hippocampus;alveolus;liver;spleen;head and neck;cervix;kidney;mammary gland;stomach;aorta;thymus;</t>
  </si>
  <si>
    <t xml:space="preserve">whole brain;amygdala;superior cervical ganglion;subthalamic nucleus;occipital lobe;thalamus;temporal lobe;globus pallidus;caudate nucleus;trigeminal ganglion;parietal lobe;bone marrow;</t>
  </si>
  <si>
    <t xml:space="preserve">SASS6</t>
  </si>
  <si>
    <t xml:space="preserve">unclassifiable (Anatomical System);lymph node;ovary;tongue;salivary gland;intestine;pharynx;colon;blood;skin;breast;prostate;lung;endometrium;visual apparatus;liver;testis;cervix;head and neck;kidney;brain;bladder;stomach;</t>
  </si>
  <si>
    <t xml:space="preserve">dorsal root ganglion;superior cervical ganglion;globus pallidus;atrioventricular node;trigeminal ganglion;skeletal muscle;</t>
  </si>
  <si>
    <t xml:space="preserve">CYB5R3</t>
  </si>
  <si>
    <t xml:space="preserve">TISSUE SPECIFICITY: Isoform 2 is expressed at late stages of erythroid maturation.; </t>
  </si>
  <si>
    <t xml:space="preserve">smooth muscle;ovary;salivary gland;sympathetic chain;intestine;colon;skin;retina;uterus;prostate;optic nerve;whole body;ganglion;cerebral cortex;endometrium;oesophagus;larynx;bone;iris;testis;germinal center;spinal ganglion;brain;unclassifiable (Anatomical System);cartilage;heart;tongue;islets of Langerhans;muscle;urinary;pharynx;blood;lens;skeletal muscle;breast;pancreas;lung;cornea;placenta;visual apparatus;alveolus;liver;cervix;spleen;head and neck;kidney;mammary gland;stomach;</t>
  </si>
  <si>
    <t xml:space="preserve">adipose tissue;heart;adrenal gland;testis;ciliary ganglion;</t>
  </si>
  <si>
    <t xml:space="preserve">LAMA2</t>
  </si>
  <si>
    <t xml:space="preserve">TISSUE SPECIFICITY: Placenta, striated muscle, peripheral nerve, cardiac muscle, pancreas, lung, spleen, kidney, adrenal gland, skin, testis, meninges, choroid plexus, and some other regions of the brain; not in liver, thymus and bone.; </t>
  </si>
  <si>
    <t xml:space="preserve">ovary;colon;parathyroid;fovea centralis;choroid;skin;retina;uterus;optic nerve;whole body;frontal lobe;cochlea;cerebral cortex;endometrium;larynx;thyroid;bone;testis;brain;gall bladder;unclassifiable (Anatomical System);heart;islets of Langerhans;adrenal cortex;lens;skeletal muscle;pancreas;lung;placenta;macula lutea;visual apparatus;liver;spleen;head and neck;cervix;kidney;stomach;</t>
  </si>
  <si>
    <t xml:space="preserve">dorsal root ganglion;superior cervical ganglion;adipose tissue;testis - seminiferous tubule;ciliary ganglion;atrioventricular node;trigeminal ganglion;skeletal muscle;</t>
  </si>
  <si>
    <t xml:space="preserve">DLG3</t>
  </si>
  <si>
    <t xml:space="preserve">discs large homolog 3</t>
  </si>
  <si>
    <t xml:space="preserve">ovary;colon;fovea centralis;choroid;skin;retina;uterus;prostate;optic nerve;endometrium;thyroid;bone;pituitary gland;testis;germinal center;brain;unclassifiable (Anatomical System);cartilage;islets of Langerhans;lens;breast;lung;placenta;macula lutea;visual apparatus;liver;spleen;kidney;mammary gland;stomach;</t>
  </si>
  <si>
    <t xml:space="preserve">dorsal root ganglion;occipital lobe;thalamus;superior cervical ganglion;medulla oblongata;atrioventricular node;pons;skeletal muscle;globus pallidus;ciliary ganglion;trigeminal ganglion;cingulate cortex;cerebellum;</t>
  </si>
  <si>
    <t xml:space="preserve">MID2</t>
  </si>
  <si>
    <t xml:space="preserve">TISSUE SPECIFICITY: Low level in fetal kidney and lung, and in adult prostate, ovary and small intestine.; </t>
  </si>
  <si>
    <t xml:space="preserve">unclassifiable (Anatomical System);pancreas;lung;cartilage;islets of Langerhans;hypothalamus;thyroid;testis;choroid;kidney;retina;</t>
  </si>
  <si>
    <t xml:space="preserve">dorsal root ganglion;superior cervical ganglion;globus pallidus;ciliary ganglion;atrioventricular node;pons;trigeminal ganglion;skeletal muscle;cingulate cortex;skin;</t>
  </si>
  <si>
    <t xml:space="preserve">ST3GAL3</t>
  </si>
  <si>
    <t xml:space="preserve">TISSUE SPECIFICITY: Highly expressed in adult skeletal muscle and in all fetal tissues examined and to a much lesser extent in placenta, lung and liver.; </t>
  </si>
  <si>
    <t xml:space="preserve">medulla oblongata;colon;fovea centralis;choroid;skin;retina;uterus;prostate;optic nerve;whole body;larynx;thyroid;pituitary gland;iris;testis;pineal gland;brain;unclassifiable (Anatomical System);heart;cartilage;hypothalamus;pineal body;adrenal cortex;lens;skeletal muscle;lung;placenta;macula lutea;liver;head and neck;kidney;stomach;</t>
  </si>
  <si>
    <t xml:space="preserve">superior cervical ganglion;atrioventricular node;skeletal muscle;</t>
  </si>
  <si>
    <t xml:space="preserve">SYNGAP1</t>
  </si>
  <si>
    <t xml:space="preserve">ovary;salivary gland;adrenal medulla;intestine;colon;parathyroid;fovea centralis;choroid;skin;retina;uterus;prostate;optic nerve;whole body;frontal lobe;larynx;bone;testis;brain;bladder;unclassifiable (Anatomical System);lymph node;heart;islets of Langerhans;pharynx;blood;lens;breast;lung;placenta;macula lutea;visual apparatus;liver;spleen;head and neck;kidney;mammary gland;</t>
  </si>
  <si>
    <t xml:space="preserve">dorsal root ganglion;superior cervical ganglion;subthalamic nucleus;globus pallidus;ciliary ganglion;pons;atrioventricular node;trigeminal ganglion;skeletal muscle;</t>
  </si>
  <si>
    <t xml:space="preserve">SETD5</t>
  </si>
  <si>
    <t xml:space="preserve">ovary;colon;parathyroid;skin;bone marrow;uterus;prostate;whole body;frontal lobe;endometrium;larynx;bone;thyroid;pituitary gland;testis;germinal center;spinal ganglion;brain;unclassifiable (Anatomical System);cartilage;heart;lacrimal gland;tongue;islets of Langerhans;muscle;blood;skeletal muscle;breast;pancreas;lung;adrenal gland;placenta;visual apparatus;alveolus;liver;spleen;head and neck;cervix;kidney;mammary gland;aorta;stomach;</t>
  </si>
  <si>
    <t xml:space="preserve">testis - interstitial;testis - seminiferous tubule;adrenal cortex;prefrontal cortex;testis;</t>
  </si>
  <si>
    <t xml:space="preserve">MEF2C</t>
  </si>
  <si>
    <t xml:space="preserve">TISSUE SPECIFICITY: Expressed in brain and skeletal muscle. {ECO:0000269|PubMed:9798649}.; </t>
  </si>
  <si>
    <t xml:space="preserve">myocardium;smooth muscle;ovary;salivary gland;intestine;colon;parathyroid;fovea centralis;choroid;skin;retina;uterus;prostate;optic nerve;frontal lobe;cochlea;endometrium;larynx;testis;germinal center;brain;bladder;unclassifiable (Anatomical System);amygdala;lymph node;cartilage;heart;tongue;hypothalamus;pharynx;blood;lens;skeletal muscle;breast;pancreas;lung;nasopharynx;placenta;macula lutea;visual apparatus;liver;spleen;head and neck;kidney;stomach;peripheral nerve;</t>
  </si>
  <si>
    <t xml:space="preserve">whole brain;amygdala;medulla oblongata;occipital lobe;temporal lobe;atrioventricular node;pons;skeletal muscle;subthalamic nucleus;fetal brain;prefrontal cortex;globus pallidus;cingulate cortex;parietal lobe;</t>
  </si>
  <si>
    <t xml:space="preserve">MBD5</t>
  </si>
  <si>
    <t xml:space="preserve">TISSUE SPECIFICITY: Detected in heart, placenta, liver, skeletal muscle, kidney and pancreas. {ECO:0000269|PubMed:12529184}.; </t>
  </si>
  <si>
    <t xml:space="preserve">MANBA</t>
  </si>
  <si>
    <t xml:space="preserve">colon;fovea centralis;choroid;retina;bone marrow;uterus;prostate;optic nerve;whole body;cerebral cortex;oesophagus;endometrium;larynx;thyroid;pituitary gland;testis;brain;bladder;unclassifiable (Anatomical System);heart;islets of Langerhans;muscle;blood;lens;skeletal muscle;pancreas;lung;nasopharynx;placenta;macula lutea;liver;amnion;spleen;head and neck;kidney;stomach;cerebellum;</t>
  </si>
  <si>
    <t xml:space="preserve">LPIN2</t>
  </si>
  <si>
    <t xml:space="preserve">TISSUE SPECIFICITY: Expressed in liver, lung, kidney, placenta, spleen, thymus, lymph node, prostate, testes, small intestine, and colon. {ECO:0000269|PubMed:15994876, ECO:0000269|PubMed:17158099}.; </t>
  </si>
  <si>
    <t xml:space="preserve">smooth muscle;ovary;salivary gland;sympathetic chain;intestine;colon;parathyroid;fovea centralis;choroid;skin;retina;bone marrow;uterus;prostate;optic nerve;whole body;frontal lobe;cerebral cortex;endometrium;bone;thyroid;pituitary gland;testis;germinal center;spinal ganglion;brain;pineal gland;bladder;unclassifiable (Anatomical System);trophoblast;cartilage;heart;islets of Langerhans;pharynx;blood;lens;skeletal muscle;lung;nasopharynx;placenta;macula lutea;visual apparatus;liver;spleen;kidney;stomach;aorta;</t>
  </si>
  <si>
    <t xml:space="preserve">superior cervical ganglion;fetal liver;</t>
  </si>
  <si>
    <t xml:space="preserve">TLR4</t>
  </si>
  <si>
    <t xml:space="preserve">TISSUE SPECIFICITY: Highly expressed in placenta, spleen and peripheral blood leukocytes. Detected in monocytes, macrophages, dendritic cells and several types of T-cells. {ECO:0000269|PubMed:9237759, ECO:0000269|PubMed:9435236}.; </t>
  </si>
  <si>
    <t xml:space="preserve">RELN</t>
  </si>
  <si>
    <t xml:space="preserve">TISSUE SPECIFICITY: Abundantly produced during brain ontogenesis by the Cajal-Retzius cells and other pioneer neurons located in the telencephalic marginal zone and by granule cells of the external granular layer of the cerebellum. In adult brain, preferentially expressed in GABAergic interneurons of prefrontal cortices, temporal cortex, hippocampus and glutamatergic granule cells of cerebellum. Expression is reduced to about 50% in patients with schizophrenia. Also expressed in fetal and adult liver. {ECO:0000269|PubMed:9861036}.; </t>
  </si>
  <si>
    <t xml:space="preserve">unclassifiable (Anatomical System);amygdala;heart;cartilage;colon;fovea centralis;skin;skeletal muscle;retina;uterus;breast;prostate;lung;cochlea;endometrium;macula lutea;visual apparatus;hippocampus;liver;testis;spleen;spinal ganglion;brain;</t>
  </si>
  <si>
    <t xml:space="preserve">dorsal root ganglion;amygdala;fetal liver;superior cervical ganglion;olfactory bulb;cerebellum peduncles;appendix;ciliary ganglion;atrioventricular node;pons;trigeminal ganglion;skeletal muscle;cerebellum;</t>
  </si>
  <si>
    <t xml:space="preserve">PAFAH1B1</t>
  </si>
  <si>
    <t xml:space="preserve">TISSUE SPECIFICITY: Fairly ubiquitous expression in both the frontal and occipital areas of the brain.; </t>
  </si>
  <si>
    <t xml:space="preserve">ANO5</t>
  </si>
  <si>
    <t xml:space="preserve">TISSUE SPECIFICITY: Highly expressed in brain, heart, kidney, lung, and skeletal muscle. Weakly expressed in bone marrow, fetal liver, placenta, spleen, thymus, osteoblasts and periodontal ligament cells. {ECO:0000269|PubMed:15067359, ECO:0000269|PubMed:15124103}.; </t>
  </si>
  <si>
    <t xml:space="preserve">unclassifiable (Anatomical System);heart;ovary;islets of Langerhans;parathyroid;skin;skeletal muscle;retina;prostate;whole body;lung;cochlea;endometrium;placenta;visual apparatus;liver;kidney;stomach;</t>
  </si>
  <si>
    <t xml:space="preserve">dorsal root ganglion;superior cervical ganglion;subthalamic nucleus;ciliary ganglion;atrioventricular node;trigeminal ganglion;skin;skeletal muscle;cerebellum;</t>
  </si>
  <si>
    <t xml:space="preserve">DYSF</t>
  </si>
  <si>
    <t xml:space="preserve">TISSUE SPECIFICITY: Expressed in skeletal muscle, myoblast, myotube and in the syncytiotrophoblast (STB) of the placenta (at protein level). Ubiquitous. Highly expressed in skeletal muscle. Also found in heart, brain, spleen, intestine, placenta and at lower levels in liver, lung, kidney and pancreas. {ECO:0000269|PubMed:10196375, ECO:0000269|PubMed:11532985, ECO:0000269|PubMed:11959863, ECO:0000269|PubMed:15318348, ECO:0000269|PubMed:16896923, ECO:0000269|PubMed:17185750, ECO:0000269|PubMed:17363620, ECO:0000269|PubMed:17554076, ECO:0000269|PubMed:24239457}.; </t>
  </si>
  <si>
    <t xml:space="preserve">colon;fovea centralis;choroid;retina;bone marrow;uterus;prostate;optic nerve;frontal lobe;larynx;thyroid;iris;testis;brain;unclassifiable (Anatomical System);amygdala;tongue;muscle;blood;lens;skeletal muscle;bile duct;breast;pancreas;lung;placenta;macula lutea;visual apparatus;hippocampus;liver;spleen;head and neck;kidney;mammary gland;</t>
  </si>
  <si>
    <t xml:space="preserve">placenta;</t>
  </si>
  <si>
    <t xml:space="preserve">MIB1</t>
  </si>
  <si>
    <t xml:space="preserve">TISSUE SPECIFICITY: Widely expressed at low level. Expressed at higher level in spinal cord, ovary, whole brain, and all specific brain regions examined. {ECO:0000269|PubMed:10718198}.; </t>
  </si>
  <si>
    <t xml:space="preserve">ovary;colon;parathyroid;skin;retina;bone marrow;uterus;prostate;frontal lobe;endometrium;larynx;bone;thyroid;pituitary gland;testis;germinal center;brain;unclassifiable (Anatomical System);cartilage;heart;islets of Langerhans;hypothalamus;muscle;skeletal muscle;bile duct;lung;nasopharynx;placenta;visual apparatus;alveolus;liver;spleen;head and neck;cervix;kidney;mammary gland;stomach;aorta;</t>
  </si>
  <si>
    <t xml:space="preserve">subthalamic nucleus;globus pallidus;ciliary ganglion;atrioventricular node;skin;</t>
  </si>
  <si>
    <t xml:space="preserve">AQP5</t>
  </si>
  <si>
    <t xml:space="preserve">unclassifiable (Anatomical System);medulla oblongata;heart;ovary;lacrimal gland;adrenal cortex;colon;parathyroid;lens;skin;retina;uterus;optic nerve;lung;endometrium;larynx;placenta;testis;kidney;brain;stomach;</t>
  </si>
  <si>
    <t xml:space="preserve">testis - interstitial;trachea;testis - seminiferous tubule;appendix;testis;trigeminal ganglion;skeletal muscle;</t>
  </si>
  <si>
    <t xml:space="preserve">DNAH11</t>
  </si>
  <si>
    <t xml:space="preserve">ovary;salivary gland;intestine;colon;parathyroid;vein;skin;uterus;prostate;cochlea;endometrium;gum;bone;thyroid;testis;germinal center;brain;bladder;unclassifiable (Anatomical System);lymph node;cartilage;heart;tongue;pharynx;blood;skeletal muscle;breast;bile duct;pancreas;lung;placenta;visual apparatus;liver;spleen;cervix;kidney;mammary gland;stomach;</t>
  </si>
  <si>
    <t xml:space="preserve">ACE</t>
  </si>
  <si>
    <t xml:space="preserve">TISSUE SPECIFICITY: Ubiquitously expressed, with highest levels in lung, kidney, heart, gastrointestinal system and prostate. Isoform Testis-specific is expressed in spermatocytes and adult testis. {ECO:0000269|PubMed:10924499, ECO:0000269|PubMed:10969042, ECO:0000269|PubMed:12459472, ECO:0000269|PubMed:15671045}.; </t>
  </si>
  <si>
    <t xml:space="preserve">medulla oblongata;ovary;colon;parathyroid;fovea centralis;choroid;retina;uterus;prostate;optic nerve;frontal lobe;testis;spinal ganglion;brain;bladder;unclassifiable (Anatomical System);lymph node;heart;cartilage;nervous;islets of Langerhans;blood;lens;breast;pancreas;lung;epididymis;placenta;macula lutea;hypopharynx;head and neck;cervix;kidney;mammary gland;stomach;thymus;</t>
  </si>
  <si>
    <t xml:space="preserve">superior cervical ganglion;testis - interstitial;ciliary ganglion;skeletal muscle;</t>
  </si>
  <si>
    <t xml:space="preserve">IGF1</t>
  </si>
  <si>
    <t xml:space="preserve">ovary;colon;parathyroid;skin;retina;uterus;prostate;whole body;cochlea;endometrium;bone;testis;artery;unclassifiable (Anatomical System);lymph node;cartilage;heart;islets of Langerhans;hypothalamus;blood;skeletal muscle;breast;pancreas;lung;adrenal gland;internal ear;placenta;visual apparatus;liver;spleen;head and neck;kidney;mammary gland;stomach;aorta;peripheral nerve;</t>
  </si>
  <si>
    <t xml:space="preserve">dorsal root ganglion;uterus;superior cervical ganglion;testis - interstitial;uterus corpus;adipose tissue;liver;testis;ciliary ganglion;atrioventricular node;skeletal muscle;</t>
  </si>
  <si>
    <t xml:space="preserve">IGF1R</t>
  </si>
  <si>
    <t xml:space="preserve">TISSUE SPECIFICITY: Found as a hybrid receptor with INSR in muscle, heart, kidney, adipose tissue, skeletal muscle, hepatoma, fibroblasts, spleen and placenta (at protein level). Expressed in a variety of tissues. Overexpressed in tumors, including melanomas, cancers of the colon, pancreas prostate and kidney. {ECO:0000269|PubMed:12019176, ECO:0000269|PubMed:8247543, ECO:0000269|PubMed:9202395, ECO:0000269|PubMed:9355755}.; </t>
  </si>
  <si>
    <t xml:space="preserve">ovary;colon;parathyroid;fovea centralis;choroid;skin;retina;uterus;optic nerve;frontal lobe;larynx;thyroid;bone;testis;brain;unclassifiable (Anatomical System);heart;islets of Langerhans;muscle;lens;skeletal muscle;bile duct;breast;pancreas;lung;epididymis;adrenal gland;placenta;macula lutea;liver;head and neck;kidney;mammary gland;</t>
  </si>
  <si>
    <t xml:space="preserve">superior cervical ganglion;prostate;prefrontal cortex;</t>
  </si>
  <si>
    <t xml:space="preserve">LRBA</t>
  </si>
  <si>
    <t xml:space="preserve">TISSUE SPECIFICITY: Ubiquitous. {ECO:0000269|PubMed:12160729}.; </t>
  </si>
  <si>
    <t xml:space="preserve">ovary;sympathetic chain;colon;parathyroid;skin;retina;bone marrow;uterus;prostate;whole body;frontal lobe;cochlea;endometrium;bone;thyroid;iris;pituitary gland;testis;dura mater;germinal center;brain;pineal gland;unclassifiable (Anatomical System);meninges;lymph node;heart;islets of Langerhans;blood;skeletal muscle;breast;pancreas;pia mater;lung;nasopharynx;placenta;visual apparatus;liver;spleen;cervix;kidney;mammary gland;stomach;</t>
  </si>
  <si>
    <t xml:space="preserve">dorsal root ganglion;superior cervical ganglion;ciliary ganglion;kidney;atrioventricular node;trigeminal ganglion;skin;</t>
  </si>
  <si>
    <t xml:space="preserve">TYK2</t>
  </si>
  <si>
    <t xml:space="preserve">TISSUE SPECIFICITY: Observed in all cell lines analyzed. Expressed in a variety of lymphoid and non-lymphoid cell lines. {ECO:0000269|PubMed:2156206}.; </t>
  </si>
  <si>
    <t xml:space="preserve">lymphoreticular;myocardium;ovary;colon;parathyroid;skin;retina;bone marrow;uterus;prostate;optic nerve;frontal lobe;endometrium;synovium;bone;thyroid;testis;amniotic fluid;germinal center;brain;bladder;tonsil;unclassifiable (Anatomical System);lymph node;cartilage;heart;tongue;islets of Langerhans;muscle;blood;skeletal muscle;pancreas;lung;placenta;liver;spleen;head and neck;cervix;kidney;mammary gland;stomach;</t>
  </si>
  <si>
    <t xml:space="preserve">white blood cells;whole blood;skeletal muscle;</t>
  </si>
  <si>
    <t xml:space="preserve">FCGR3A</t>
  </si>
  <si>
    <t xml:space="preserve">TISSUE SPECIFICITY: Expressed on natural killer cells, macrophages, subpopulation of T-cells, immature thymocytes and placental trophoblasts.; </t>
  </si>
  <si>
    <t xml:space="preserve">ABCA12</t>
  </si>
  <si>
    <t xml:space="preserve">TISSUE SPECIFICITY: Mainly expressed in the stomach, placenta, testis and fetal brain. {ECO:0000269|PubMed:12697999}.; </t>
  </si>
  <si>
    <t xml:space="preserve">unclassifiable (Anatomical System);breast;lung;stomach;</t>
  </si>
  <si>
    <t xml:space="preserve">dorsal root ganglion;occipital lobe;superior cervical ganglion;atrioventricular node;pons;skin;skeletal muscle;subthalamic nucleus;globus pallidus;appendix;ciliary ganglion;trigeminal ganglion;parietal lobe;</t>
  </si>
  <si>
    <t xml:space="preserve">RPL21</t>
  </si>
  <si>
    <t xml:space="preserve">PAX8</t>
  </si>
  <si>
    <t xml:space="preserve">paired box 8</t>
  </si>
  <si>
    <t xml:space="preserve">TISSUE SPECIFICITY: Expressed in the excretory system, thyroid gland and Wilms tumors.; </t>
  </si>
  <si>
    <t xml:space="preserve">unclassifiable (Anatomical System);lymph node;heart;ovary;colon;parathyroid;lens;skin;uterus;optic nerve;lung;endometrium;larynx;thyroid;placenta;visual apparatus;head and neck;germinal center;kidney;brain;bladder;</t>
  </si>
  <si>
    <t xml:space="preserve">dorsal root ganglion;superior cervical ganglion;thyroid;ciliary ganglion;kidney;atrioventricular node;fetal thyroid;trigeminal ganglion;cingulate cortex;skeletal muscle;cerebellum;</t>
  </si>
  <si>
    <t xml:space="preserve">APOB</t>
  </si>
  <si>
    <t xml:space="preserve">ovary;salivary gland;intestine;colon;skin;uterus;prostate;whole body;bone;testis;brain;bladder;gall bladder;unclassifiable (Anatomical System);small intestine;heart;pharynx;blood;skeletal muscle;breast;pancreas;lung;cornea;adrenal gland;placenta;visual apparatus;liver;spleen;kidney;mammary gland;stomach;</t>
  </si>
  <si>
    <t xml:space="preserve">fetal liver;superior cervical ganglion;liver;fetal lung;</t>
  </si>
  <si>
    <t xml:space="preserve">AHCY</t>
  </si>
  <si>
    <t xml:space="preserve">ovary;salivary gland;intestine;colon;parathyroid;fovea centralis;choroid;skin;retina;bone marrow;uterus;prostate;optic nerve;whole body;frontal lobe;endometrium;larynx;bone;thyroid;testis;germinal center;brain;pineal gland;bladder;unclassifiable (Anatomical System);lymph node;heart;epidermis;muscle;adrenal cortex;pharynx;blood;lens;breast;pancreas;lung;cornea;adrenal gland;placenta;macula lutea;visual apparatus;duodenum;liver;cervix;spleen;head and neck;kidney;mammary gland;stomach;</t>
  </si>
  <si>
    <t xml:space="preserve">AASS</t>
  </si>
  <si>
    <t xml:space="preserve">TISSUE SPECIFICITY: Expressed in all 16 tissues examined with highest expression in the liver.; </t>
  </si>
  <si>
    <t xml:space="preserve">unclassifiable (Anatomical System);lung;endometrium;thyroid;liver;testis;colon;spleen;head and neck;kidney;brain;skeletal muscle;stomach;</t>
  </si>
  <si>
    <t xml:space="preserve">superior cervical ganglion;atrioventricular node;</t>
  </si>
  <si>
    <t xml:space="preserve">STAT3</t>
  </si>
  <si>
    <t xml:space="preserve">TISSUE SPECIFICITY: Heart, brain, placenta, lung, liver, skeletal muscle, kidney and pancreas.; </t>
  </si>
  <si>
    <t xml:space="preserve">ovary;salivary gland;colon;choroid;skin;retina;bone marrow;uterus;prostate;whole body;endometrium;synovium;larynx;bone;thyroid;testis;amniotic fluid;germinal center;brain;bladder;tonsil;unclassifiable (Anatomical System);lymph node;cartilage;heart;islets of Langerhans;muscle;blood;lens;skeletal muscle;breast;bile duct;pancreas;lung;cornea;adrenal gland;nasopharynx;placenta;visual apparatus;amnion;hypopharynx;liver;cervix;spleen;head and neck;kidney;mammary gland;aorta;stomach;</t>
  </si>
  <si>
    <t xml:space="preserve">adipose tissue;beta cell islets;kidney;</t>
  </si>
  <si>
    <t xml:space="preserve">MSH2</t>
  </si>
  <si>
    <t xml:space="preserve">0.867725630709854</t>
  </si>
  <si>
    <t xml:space="preserve">mutS homolog 2</t>
  </si>
  <si>
    <t xml:space="preserve">FUNCTION: Component of the post-replicative DNA mismatch repair system (MMR). Forms two different heterodimers: MutS alpha (MSH2- MSH6 heterodimer) and MutS beta (MSH2-MSH3 heterodimer) which binds to DNA mismatches thereby initiating DNA repair. When bound, heterodimers bend the DNA helix and shields approximately 20 base pairs. MutS alpha recognizes single base mismatches and dinucleotide insertion-deletion loops (IDL) in the DNA. MutS beta recognizes larger insertion-deletion loops up to 13 nucleotides long. After mismatch binding, MutS alpha or beta forms a ternary complex with the MutL alpha heterodimer, which is thought to be responsible for directing the downstream MMR events, including strand discrimination, excision, and resynthesis. ATP binding and hydrolysis play a pivotal role in mismatch repair functions. The ATPase activity associated with MutS alpha regulates binding similar to a molecular switch: mismatched DNA provokes ADP--&gt;ATP exchange, resulting in a discernible conformational transition that converts MutS alpha into a sliding clamp capable of hydrolysis-independent diffusion along the DNA backbone. This transition is crucial for mismatch repair. MutS alpha may also play a role in DNA homologous recombination repair. In melanocytes may modulate both UV-B-induced cell cycle regulation and apoptosis. {ECO:0000269|PubMed:10078208, ECO:0000269|PubMed:10660545, ECO:0000269|PubMed:15064730, ECO:0000269|PubMed:17611581, ECO:0000269|PubMed:9564049, ECO:0000269|PubMed:9822679, ECO:0000269|PubMed:9822680}.; </t>
  </si>
  <si>
    <t xml:space="preserve">TISSUE SPECIFICITY: Ubiquitously expressed. {ECO:0000269|PubMed:10856833}.; </t>
  </si>
  <si>
    <t xml:space="preserve">lymphoreticular;ovary;salivary gland;intestine;colon;parathyroid;skin;retina;bone marrow;prostate;whole body;frontal lobe;endometrium;larynx;bone;thyroid;testis;germinal center;brain;pineal gland;bladder;tonsil;unclassifiable (Anatomical System);trophoblast;lymph node;cartilage;heart;islets of Langerhans;hypothalamus;muscle;adrenal cortex;pharynx;blood;skeletal muscle;breast;lung;adrenal gland;nasopharynx;placenta;visual apparatus;hippocampus;liver;cervix;spleen;head and neck;kidney;stomach;thymus;</t>
  </si>
  <si>
    <t xml:space="preserve">superior cervical ganglion;trigeminal ganglion;</t>
  </si>
  <si>
    <t xml:space="preserve">TTN</t>
  </si>
  <si>
    <t xml:space="preserve">TISSUE SPECIFICITY: Isoforms 3, 7 and 8 are expressed in cardiac muscle. Isoform 4 is expressed in vertebrate skeletal muscle. Isoform 6 is expressed in skeletal muscle (at protein level). {ECO:0000269|PubMed:11717165, ECO:0000269|PubMed:7819249}.; </t>
  </si>
  <si>
    <t xml:space="preserve">myocardium;ovary;colon;parathyroid;choroid;fovea centralis;skin;bone marrow;retina;uterus;prostate;whole body;optic nerve;atrium;frontal lobe;larynx;thyroid;bone;testis;germinal center;unclassifiable (Anatomical System);heart;tongue;muscle;spinal cord;blood;lens;skeletal muscle;pancreas;lung;nasopharynx;placenta;visual apparatus;macula lutea;alveolus;liver;spleen;head and neck;kidney;peripheral nerve;</t>
  </si>
  <si>
    <t xml:space="preserve">superior cervical ganglion;tongue;thyroid;globus pallidus;testis;atrioventricular node;pons;fetal thyroid;trigeminal ganglion;skeletal muscle;</t>
  </si>
  <si>
    <t xml:space="preserve">SP110</t>
  </si>
  <si>
    <t xml:space="preserve">TISSUE SPECIFICITY: Highly expressed in peripheral blood leukocytes and spleen. Detected at intermediate levels in thymus, prostate, testis, ovary, small intestine and colon, and at low levels in heart, brain, placenta, lung, liver, skeletal muscle, kidney and pancreas.; </t>
  </si>
  <si>
    <t xml:space="preserve">lymphoreticular;ovary;salivary gland;intestine;colon;parathyroid;fovea centralis;choroid;skin;bone marrow;uterus;prostate;whole body;bone;testis;germinal center;spinal ganglion;brain;bladder;tonsil;unclassifiable (Anatomical System);lymph node;cartilage;heart;islets of Langerhans;pharynx;blood;breast;lung;nasopharynx;placenta;macula lutea;visual apparatus;alveolus;liver;spleen;kidney;mammary gland;</t>
  </si>
  <si>
    <t xml:space="preserve">dorsal root ganglion;superior cervical ganglion;appendix;ciliary ganglion;white blood cells;trigeminal ganglion;whole blood;tonsil;skeletal muscle;</t>
  </si>
  <si>
    <t xml:space="preserve">AK1</t>
  </si>
  <si>
    <t xml:space="preserve">myocardium;medulla oblongata;ovary;sympathetic chain;skin;retina;prostate;optic nerve;frontal lobe;thyroid;amniotic fluid;bladder;brain;heart;cartilage;tongue;pineal body;pharynx;blood;lens;skeletal muscle;breast;epididymis;visual apparatus;macula lutea;liver;spleen;cervix;mammary gland;salivary gland;intestine;colon;parathyroid;fovea centralis;vein;uterus;whole body;bone;testis;unclassifiable (Anatomical System);islets of Langerhans;hypothalamus;muscle;bile duct;pancreas;lung;placenta;hippocampus;head and neck;kidney;stomach;</t>
  </si>
  <si>
    <t xml:space="preserve">superior cervical ganglion;heart;ciliary ganglion;atrioventricular node;trigeminal ganglion;skeletal muscle;</t>
  </si>
  <si>
    <t xml:space="preserve">GLI3</t>
  </si>
  <si>
    <t xml:space="preserve">TISSUE SPECIFICITY: Is expressed in a wide variety of normal adult tissues, including lung, colon, spleen, placenta, testis, and myometrium.; </t>
  </si>
  <si>
    <t xml:space="preserve">PHKA1</t>
  </si>
  <si>
    <t xml:space="preserve">TISSUE SPECIFICITY: Muscle specific. Isoform 1 is predominant in vastus lateralis muscle. Isoform 2 predominates slightly in heart, and it predominates clearly in the other tissues tested.; </t>
  </si>
  <si>
    <t xml:space="preserve">unclassifiable (Anatomical System);lymphoreticular;ovary;heart;islets of Langerhans;colon;parathyroid;skeletal muscle;breast;pancreas;prostate;whole body;lung;bone;thyroid;placenta;hypopharynx;liver;head and neck;kidney;brain;stomach;</t>
  </si>
  <si>
    <t xml:space="preserve">GGT1</t>
  </si>
  <si>
    <t xml:space="preserve">TISSUE SPECIFICITY: Detected in fetal and adult kidney and liver, adult pancreas, stomach, intestine, placenta and lung. Isoform 3 is lung-specific. There are several other tissue-specific forms that arise from alternative promoter usage but that produce the same protein.; </t>
  </si>
  <si>
    <t xml:space="preserve">unclassifiable (Anatomical System);cartilage;heart;tongue;colon;fovea centralis;choroid;lens;retina;breast;uterus;pancreas;prostate;optic nerve;lung;frontal lobe;macula lutea;liver;testis;head and neck;spleen;kidney;mammary gland;stomach;</t>
  </si>
  <si>
    <t xml:space="preserve">GAN</t>
  </si>
  <si>
    <t xml:space="preserve">TISSUE SPECIFICITY: Expressed in brain, heart and muscle. {ECO:0000269|PubMed:12147674}.; </t>
  </si>
  <si>
    <t xml:space="preserve">unclassifiable (Anatomical System);breast;prostate;lung;trabecular meshwork;placenta;urinary;iris;colon;kidney;skeletal muscle;</t>
  </si>
  <si>
    <t xml:space="preserve">skin;</t>
  </si>
  <si>
    <t xml:space="preserve">SCN1A</t>
  </si>
  <si>
    <t xml:space="preserve">unclassifiable (Anatomical System);optic nerve;frontal lobe;hypothalamus;macula lutea;fovea centralis;choroid;lens;brain;skeletal muscle;retina;</t>
  </si>
  <si>
    <t xml:space="preserve">amygdala;occipital lobe;medulla oblongata;thalamus;subthalamic nucleus;temporal lobe;prefrontal cortex;globus pallidus;pons;cingulate cortex;parietal lobe;</t>
  </si>
  <si>
    <t xml:space="preserve">ABCA4</t>
  </si>
  <si>
    <t xml:space="preserve">TISSUE SPECIFICITY: Retinal-specific. Seems to be exclusively found in the rims of rod photoreceptor cells.; </t>
  </si>
  <si>
    <t xml:space="preserve">FANCD2</t>
  </si>
  <si>
    <t xml:space="preserve">TISSUE SPECIFICITY: Highly expressed in germinal center cells of the spleen, tonsil, and reactive lymph nodes, and in the proliferating basal layer of squamous epithelium of tonsil, esophagus, oropharynx, larynx and cervix. Expressed in cytotrophoblastic cells of the placenta and exocrine cells of the pancreas (at protein level). Highly expressed in testis, where expression is restricted to maturing spermatocytes. {ECO:0000269|PubMed:11239453, ECO:0000269|PubMed:14517836, ECO:0000269|PubMed:15454491}.; </t>
  </si>
  <si>
    <t xml:space="preserve">unclassifiable (Anatomical System);pancreas;lymph node;lung;ovary;bone;liver;testis;colon;spleen;blood;brain;stomach;bone marrow;</t>
  </si>
  <si>
    <t xml:space="preserve">dorsal root ganglion;atrioventricular node;trigeminal ganglion;</t>
  </si>
  <si>
    <t xml:space="preserve">FANCC</t>
  </si>
  <si>
    <t xml:space="preserve">smooth muscle;colon;fovea centralis;choroid;skin;retina;prostate;optic nerve;frontal lobe;endometrium;larynx;testis;germinal center;brain;unclassifiable (Anatomical System);cartilage;lens;skeletal muscle;pancreas;lung;placenta;macula lutea;visual apparatus;liver;spleen;head and neck;kidney;mammary gland;stomach;</t>
  </si>
  <si>
    <t xml:space="preserve">dorsal root ganglion;superior cervical ganglion;liver;ciliary ganglion;atrioventricular node;pons;trigeminal ganglion;skeletal muscle;cerebellum;</t>
  </si>
  <si>
    <t xml:space="preserve">SMCHD1</t>
  </si>
  <si>
    <t xml:space="preserve">smooth muscle;ovary;skin;bone marrow;retina;prostate;optic nerve;frontal lobe;cochlea;endometrium;germinal center;brain;heart;cartilage;blood;lens;skeletal muscle;breast;visual apparatus;macula lutea;liver;spleen;cervix;mammary gland;peripheral nerve;colon;parathyroid;choroid;fovea centralis;uterus;whole body;cerebral cortex;larynx;bone;testis;spinal ganglion;unclassifiable (Anatomical System);lymph node;lacrimal gland;islets of Langerhans;oral cavity;bile duct;pancreas;lung;adrenal gland;nasopharynx;placenta;head and neck;kidney;stomach;aorta;thymus;</t>
  </si>
  <si>
    <t xml:space="preserve">dorsal root ganglion;testis - interstitial;superior cervical ganglion;testis - seminiferous tubule;testis;ciliary ganglion;whole blood;trigeminal ganglion;skeletal muscle;</t>
  </si>
  <si>
    <t xml:space="preserve">GLA</t>
  </si>
  <si>
    <t xml:space="preserve">smooth muscle;ovary;salivary gland;intestine;colon;parathyroid;fovea centralis;choroid;skin;retina;uterus;prostate;optic nerve;whole body;cochlea;endometrium;bone;thyroid;testis;amniotic fluid;germinal center;ciliary body;brain;bladder;tonsil;unclassifiable (Anatomical System);cartilage;heart;islets of Langerhans;pharynx;blood;lens;breast;pancreas;lung;nasopharynx;placenta;macula lutea;visual apparatus;alveolus;duodenum;liver;cervix;head and neck;kidney;mammary gland;aorta;stomach;</t>
  </si>
  <si>
    <t xml:space="preserve">dorsal root ganglion;superior cervical ganglion;ciliary ganglion;atrioventricular node;</t>
  </si>
  <si>
    <t xml:space="preserve">SPTAN1</t>
  </si>
  <si>
    <t xml:space="preserve">spectrin alpha, non-erythrocytic 1</t>
  </si>
  <si>
    <t xml:space="preserve">lymphoreticular;ovary;sympathetic chain;skin;retina;bone marrow;prostate;optic nerve;frontal lobe;cochlea;endometrium;thyroid;amniotic fluid;germinal center;bladder;brain;gall bladder;tonsil;heart;cartilage;tongue;urinary;adrenal cortex;blood;lens;skeletal muscle;breast;macula lutea;visual apparatus;liver;spleen;cervix;mammary gland;colon;fovea centralis;choroid;uterus;cerebral cortex;larynx;bone;testis;spinal ganglion;unclassifiable (Anatomical System);lacrimal gland;islets of Langerhans;hypothalamus;bile duct;pancreas;lung;placenta;amnion;head and neck;kidney;stomach;thymus;cerebellum;</t>
  </si>
  <si>
    <t xml:space="preserve">whole brain;amygdala;dorsal root ganglion;occipital lobe;superior cervical ganglion;thalamus;medulla oblongata;cerebellum peduncles;temporal lobe;spinal cord;pons;atrioventricular node;caudate nucleus;skin;subthalamic nucleus;fetal brain;prefrontal cortex;globus pallidus;ciliary ganglion;trigeminal ganglion;parietal lobe;cingulate cortex;cerebellum;</t>
  </si>
  <si>
    <t xml:space="preserve">DMPK</t>
  </si>
  <si>
    <t xml:space="preserve">TISSUE SPECIFICITY: Most isoforms are expressed in many tissues including heart, skeletal muscle, liver and brain, except for isoform 2 which is only found in the heart and skeletal muscle, and isoform 14 which is only found in the brain, with high levels in the striatum, cerebellar cortex and pons. {ECO:0000269|PubMed:7488138}.; </t>
  </si>
  <si>
    <t xml:space="preserve">ovary;colon;skin;retina;uterus;prostate;frontal lobe;larynx;thyroid;iris;testis;germinal center;brain;spinal ganglion;tonsil;unclassifiable (Anatomical System);muscle;lens;lung;mesenchyma;placenta;liver;head and neck;cervix;kidney;stomach;</t>
  </si>
  <si>
    <t xml:space="preserve">superior cervical ganglion;atrioventricular node;pons;trigeminal ganglion;skeletal muscle;</t>
  </si>
  <si>
    <t xml:space="preserve">TAF1</t>
  </si>
  <si>
    <t xml:space="preserve">TATA-box binding protein associated factor 1</t>
  </si>
  <si>
    <t xml:space="preserve">unclassifiable (Anatomical System);smooth muscle;colon;skin;retina;breast;uterus;pancreas;prostate;lung;endometrium;larynx;thyroid;placenta;hypopharynx;liver;testis;cervix;head and neck;spleen;germinal center;brain;peripheral nerve;thymus;</t>
  </si>
  <si>
    <t xml:space="preserve">superior cervical ganglion;globus pallidus;pons;trigeminal ganglion;skeletal muscle;</t>
  </si>
  <si>
    <t xml:space="preserve">GUCY2C</t>
  </si>
  <si>
    <t xml:space="preserve">guanylate cyclase 2C</t>
  </si>
  <si>
    <t xml:space="preserve">unclassifiable (Anatomical System);endometrium;islets of Langerhans;colon;kidney;skin;skeletal muscle;stomach;</t>
  </si>
  <si>
    <t xml:space="preserve">superior cervical ganglion;ciliary ganglion;atrioventricular node;skeletal muscle;skin;</t>
  </si>
  <si>
    <t xml:space="preserve">MYO5B</t>
  </si>
  <si>
    <t xml:space="preserve">myosin VB</t>
  </si>
  <si>
    <t xml:space="preserve">ovary;colon;parathyroid;fovea centralis;choroid;skin;retina;uterus;prostate;optic nerve;whole body;endometrium;thyroid;testis;dura mater;germinal center;brain;bladder;pineal gland;unclassifiable (Anatomical System);meninges;cartilage;heart;islets of Langerhans;lens;skeletal muscle;bile duct;breast;pia mater;lung;placenta;macula lutea;visual apparatus;liver;spleen;cervix;kidney;mammary gland;stomach;</t>
  </si>
  <si>
    <t xml:space="preserve">dorsal root ganglion;testis - interstitial;superior cervical ganglion;testis;globus pallidus;ciliary ganglion;pons;kidney;trigeminal ganglion;skeletal muscle;</t>
  </si>
  <si>
    <t xml:space="preserve">PIEZO1</t>
  </si>
  <si>
    <t xml:space="preserve">TISSUE SPECIFICITY: Expressed in numerous tissues. In normal brain, expressed exclusively in neurons, not in astrocytes. In Alzheimer disease brains, expressed in about half of the activated astrocytes located around classical senile plaques. In Parkinson disease substantia nigra, not detected in melanin-containing neurons nor in activated astrocytes. Expressed in erythrocytes (at protein level). {ECO:0000269|PubMed:16854388, ECO:0000269|PubMed:22529292, ECO:0000269|PubMed:23479567}.; </t>
  </si>
  <si>
    <t xml:space="preserve">smooth muscle;ovary;skin;retina;prostate;optic nerve;frontal lobe;endometrium;thyroid;germinal center;bladder;brain;heart;cartilage;tongue;urinary;blood;cerebrum;lens;skeletal muscle;breast;epididymis;visual apparatus;macula lutea;liver;alveolus;spleen;cervix;mammary gland;colon;parathyroid;fovea centralis;choroid;uterus;whole body;bone;pituitary gland;testis;unclassifiable (Anatomical System);lymph node;islets of Langerhans;pancreas;lung;cornea;placenta;hypopharynx;head and neck;kidney;stomach;aorta;thymus;</t>
  </si>
  <si>
    <t xml:space="preserve">prostate;tumor;white blood cells;</t>
  </si>
  <si>
    <t xml:space="preserve">DSPP</t>
  </si>
  <si>
    <t xml:space="preserve">TISSUE SPECIFICITY: Expressed in teeth. DPP is synthesized by odontoblast and transiently expressed by pre-ameloblasts.; </t>
  </si>
  <si>
    <t xml:space="preserve">kidney;</t>
  </si>
  <si>
    <t xml:space="preserve">GRHL2</t>
  </si>
  <si>
    <t xml:space="preserve">TISSUE SPECIFICITY: Expressed in keratinocytes (at protein level). Highly expressed in placenta, prostate, brain and kidney. Lower- level expression in a variety of epithelial tissues such as thymus, lung, salivary gland, mammary gland and digestive tract. Expressed in the cochlear. {ECO:0000269|PubMed:12175488, ECO:0000269|PubMed:12393799, ECO:0000269|PubMed:20978075, ECO:0000269|PubMed:25152456}.; </t>
  </si>
  <si>
    <t xml:space="preserve">unclassifiable (Anatomical System);cartilage;heart;ovary;colon;blood;skin;skeletal muscle;breast;uterus;prostate;lung;endometrium;larynx;placenta;head and neck;stomach;</t>
  </si>
  <si>
    <t xml:space="preserve">CFTR</t>
  </si>
  <si>
    <t xml:space="preserve">TISSUE SPECIFICITY: Expressed in the respiratory airway, including bronchial epithelium, and in the female reproductive tract, including oviduct (at protein level). {ECO:0000269|PubMed:22207244}.; </t>
  </si>
  <si>
    <t xml:space="preserve">unclassifiable (Anatomical System);ovary;islets of Langerhans;colon;skeletal muscle;bile duct;uterus;pancreas;lung;endometrium;thyroid;liver;testis;kidney;brain;stomach;</t>
  </si>
  <si>
    <t xml:space="preserve">superior cervical ganglion;pancreas;salivary gland;beta cell islets;ciliary ganglion;trigeminal ganglion;skeletal muscle;</t>
  </si>
  <si>
    <t xml:space="preserve">MEF2A</t>
  </si>
  <si>
    <t xml:space="preserve">TISSUE SPECIFICITY: Isoform MEF2 and isoform MEFA are expressed only in skeletal and cardiac muscle and in the brain. Isoform RSRFC4 and isoform RSRFC9 are expressed in all tissues examined. {ECO:0000269|PubMed:1516833, ECO:0000269|PubMed:1748287}.; </t>
  </si>
  <si>
    <t xml:space="preserve">myocardium;ovary;skin;retina;bone marrow;prostate;optic nerve;frontal lobe;cochlea;endometrium;thyroid;germinal center;brain;heart;cartilage;tongue;blood;lens;skeletal muscle;breast;trabecular meshwork;macula lutea;visual apparatus;liver;spleen;mammary gland;peripheral nerve;colon;parathyroid;fovea centralis;choroid;vein;uterus;whole body;larynx;bone;testis;spinal ganglion;pineal gland;unclassifiable (Anatomical System);lymph node;small intestine;lacrimal gland;islets of Langerhans;hypothalamus;pancreas;lung;mesenchyma;nasopharynx;placenta;head and neck;kidney;stomach;aorta;cerebellum;</t>
  </si>
  <si>
    <t xml:space="preserve">amygdala;whole brain;occipital lobe;medulla oblongata;thalamus;superior cervical ganglion;caudate nucleus;pons;subthalamic nucleus;prefrontal cortex;globus pallidus;parietal lobe;cingulate cortex;</t>
  </si>
  <si>
    <t xml:space="preserve">ZEB1</t>
  </si>
  <si>
    <t xml:space="preserve">TISSUE SPECIFICITY: Colocalizes with SMARCA4/BRG1 in E-cadherin- negative cells from established lines, and stroma of normal colon as well as in de-differentiated epithelial cells at the invasion front of colorectal carcinomas (at protein level). Expressed in heart and skeletal muscle, but not in liver, spleen, or pancreas. {ECO:0000269|PubMed:20418909}.; </t>
  </si>
  <si>
    <t xml:space="preserve">lymphoreticular;ovary;salivary gland;intestine;colon;parathyroid;skin;retina;bone marrow;uterus;prostate;whole body;endometrium;bone;testis;germinal center;brain;artery;bladder;unclassifiable (Anatomical System);cartilage;heart;tongue;islets of Langerhans;hypothalamus;spinal cord;pharynx;blood;skeletal muscle;breast;pancreas;lung;placenta;visual apparatus;liver;spleen;head and neck;kidney;aorta;stomach;</t>
  </si>
  <si>
    <t xml:space="preserve">uterus;superior cervical ganglion;occipital lobe;adipose tissue;spinal cord;atrioventricular node;</t>
  </si>
  <si>
    <t xml:space="preserve">NTRK1</t>
  </si>
  <si>
    <t xml:space="preserve">TISSUE SPECIFICITY: Isoform TrkA-I is found in most non-neuronal tissues. Isoform TrkA-II is primarily expressed in neuronal cells. TrkA-III is specifically expressed by pluripotent neural stem and neural crest progenitors. {ECO:0000269|PubMed:15488758, ECO:0000269|PubMed:8325889}.; </t>
  </si>
  <si>
    <t xml:space="preserve">optic nerve;whole body;bone;placenta;macula lutea;head and neck;fovea centralis;choroid;lens;brain;retina;</t>
  </si>
  <si>
    <t xml:space="preserve">superior cervical ganglion;adipose tissue;ciliary ganglion;atrioventricular node;trigeminal ganglion;skeletal muscle;</t>
  </si>
  <si>
    <t xml:space="preserve">VARS2</t>
  </si>
  <si>
    <t xml:space="preserve">lymphoreticular;ovary;salivary gland;intestine;colon;parathyroid;skin;retina;uterus;prostate;frontal lobe;endometrium;larynx;thyroid;germinal center;brain;bladder;unclassifiable (Anatomical System);cartilage;pharynx;blood;pancreas;lung;placenta;visual apparatus;hippocampus;liver;spleen;head and neck;cervix;kidney;stomach;aorta;</t>
  </si>
  <si>
    <t xml:space="preserve">ciliary ganglion;atrioventricular node;</t>
  </si>
  <si>
    <t xml:space="preserve">HYDIN</t>
  </si>
  <si>
    <t xml:space="preserve">unclassifiable (Anatomical System);lung;ovary;islets of Langerhans;thyroid;muscle;testis;kidney;brain;skeletal muscle;retina;</t>
  </si>
  <si>
    <t xml:space="preserve">dorsal root ganglion;subthalamic nucleus;superior cervical ganglion;cerebellum peduncles;globus pallidus;ciliary ganglion;atrioventricular node;trigeminal ganglion;skeletal muscle;parietal lobe;</t>
  </si>
  <si>
    <t xml:space="preserve">ATP8B1</t>
  </si>
  <si>
    <t xml:space="preserve">TISSUE SPECIFICITY: Found in most tissues except brain and skeletal muscle. Most abundant in pancreas and small intestine.; </t>
  </si>
  <si>
    <t xml:space="preserve">unclassifiable (Anatomical System);cartilage;ovary;lacrimal gland;urinary;colon;blood;skeletal muscle;retina;breast;uterus;lung;endometrium;epididymis;bone;thyroid;liver;testis;germinal center;mammary gland;stomach;</t>
  </si>
  <si>
    <t xml:space="preserve">superior cervical ganglion;prostate;ciliary ganglion;pons;atrioventricular node;trigeminal ganglion;parietal lobe;</t>
  </si>
  <si>
    <t xml:space="preserve">TGFB1</t>
  </si>
  <si>
    <t xml:space="preserve">TISSUE SPECIFICITY: Highly expressed in bone. Abundantly expressed in articular cartilage and chondrocytes and is increased in osteoarthritis (OA). Colocalizes with ASPN in chondrocytes within OA lesions of articular cartilage. {ECO:0000269|PubMed:11746498, ECO:0000269|PubMed:17827158}.; </t>
  </si>
  <si>
    <t xml:space="preserve">ovary;salivary gland;colon;parathyroid;fovea centralis;choroid;vein;skin;retina;bone marrow;uterus;prostate;optic nerve;frontal lobe;endometrium;bone;thyroid;pituitary gland;testis;amniotic fluid;brain;tonsil;unclassifiable (Anatomical System);lymph node;cartilage;heart;tongue;islets of Langerhans;muscle;urinary;adrenal cortex;blood;lens;breast;bile duct;pancreas;lung;placenta;macula lutea;visual apparatus;alveolus;duodenum;liver;cervix;spleen;head and neck;kidney;mammary gland;stomach;</t>
  </si>
  <si>
    <t xml:space="preserve">subthalamic nucleus;heart;testis - seminiferous tubule;placenta;globus pallidus;white blood cells;ciliary ganglion;pons;atrioventricular node;whole blood;skeletal muscle;</t>
  </si>
  <si>
    <t xml:space="preserve">CACNB2</t>
  </si>
  <si>
    <t xml:space="preserve">TISSUE SPECIFICITY: Expressed in all tissues.; </t>
  </si>
  <si>
    <t xml:space="preserve">unclassifiable (Anatomical System);myocardium;heart;ovary;islets of Langerhans;parathyroid;fovea centralis;breast;uterus;pancreas;prostate;lung;frontal lobe;bone;placenta;macula lutea;hippocampus;pituitary gland;liver;spleen;kidney;brain;mammary gland;aorta;</t>
  </si>
  <si>
    <t xml:space="preserve">superior cervical ganglion;subthalamic nucleus;medulla oblongata;occipital lobe;cerebellum peduncles;temporal lobe;prefrontal cortex;globus pallidus;pons;pituitary;cingulate cortex;parietal lobe;</t>
  </si>
  <si>
    <t xml:space="preserve">PTHLH</t>
  </si>
  <si>
    <t xml:space="preserve">TISSUE SPECIFICITY: Ubiquitous. Also expressed in the mammary gland.; </t>
  </si>
  <si>
    <t xml:space="preserve">ovary;islets of Langerhans;colon;parathyroid;skin;breast;prostate;pancreas;lung;larynx;gum;placenta;thyroid;testis;head and neck;kidney;brain;</t>
  </si>
  <si>
    <t xml:space="preserve">superior cervical ganglion;lung;appendix;pons;trigeminal ganglion;</t>
  </si>
  <si>
    <t xml:space="preserve">ATM</t>
  </si>
  <si>
    <t xml:space="preserve">TISSUE SPECIFICITY: Found in pancreas, kidney, skeletal muscle, liver, lung, placenta, brain, heart, spleen, thymus, testis, ovary, small intestine, colon and leukocytes.; </t>
  </si>
  <si>
    <t xml:space="preserve">smooth muscle;colon;skin;retina;uterus;prostate;thyroid;iris;testis;dura mater;germinal center;brain;unclassifiable (Anatomical System);meninges;lymph node;heart;cartilage;lacrimal gland;islets of Langerhans;blood;skeletal muscle;breast;pia mater;lung;adrenal gland;nasopharynx;placenta;visual apparatus;kidney;mammary gland;stomach;</t>
  </si>
  <si>
    <t xml:space="preserve">dorsal root ganglion;superior cervical ganglion;ciliary ganglion;atrioventricular node;trigeminal ganglion;</t>
  </si>
  <si>
    <t xml:space="preserve">RYR2</t>
  </si>
  <si>
    <t xml:space="preserve">TISSUE SPECIFICITY: Detected in heart muscle (at protein level). Heart muscle, brain (cerebellum and hippocampus) and placenta. {ECO:0000269|PubMed:10830164, ECO:0000269|PubMed:9607712}.; </t>
  </si>
  <si>
    <t xml:space="preserve">unclassifiable (Anatomical System);heart;hypothalamus;colon;fovea centralis;choroid;lens;skeletal muscle;retina;prostate;optic nerve;atrium;lung;frontal lobe;placenta;bone;macula lutea;liver;head and neck;spleen;cervix;brain;</t>
  </si>
  <si>
    <t xml:space="preserve">amygdala;occipital lobe;subthalamic nucleus;medulla oblongata;temporal lobe;prefrontal cortex;globus pallidus;caudate nucleus;pons;cingulate cortex;</t>
  </si>
  <si>
    <t xml:space="preserve">ASL</t>
  </si>
  <si>
    <t xml:space="preserve">ovary;salivary gland;colon;skin;retina;bone marrow;prostate;frontal lobe;bone;iris;testis;brain;unclassifiable (Anatomical System);lymph node;heart;islets of Langerhans;adrenal cortex;blood;lens;skeletal muscle;breast;pancreas;lung;placenta;liver;spleen;cervix;kidney;stomach;</t>
  </si>
  <si>
    <t xml:space="preserve">liver;kidney;</t>
  </si>
  <si>
    <t xml:space="preserve">SLC12A6</t>
  </si>
  <si>
    <t xml:space="preserve">TISSUE SPECIFICITY: Highly expressed in heart, brain and kidney. Detected at lower levels in skeletal muscle, placenta, lung and pancreas. Detected in umbilical vein endothelial cells. Isoform 2 is more abundant in kidney. Isoform 5 is testis specific. Expressed in the proximal tubule of the kidney (at protein level). {ECO:0000269|PubMed:16048901}.; </t>
  </si>
  <si>
    <t xml:space="preserve">unclassifiable (Anatomical System);ovary;blood;fovea centralis;skeletal muscle;bone marrow;uterus;breast;lung;endometrium;bone;placenta;macula lutea;testis;kidney;brain;artery;aorta;</t>
  </si>
  <si>
    <t xml:space="preserve">dorsal root ganglion;superior cervical ganglion;testis - interstitial;testis - seminiferous tubule;testis;ciliary ganglion;pons;atrioventricular node;trigeminal ganglion;skeletal muscle;</t>
  </si>
  <si>
    <t xml:space="preserve">ABCD1</t>
  </si>
  <si>
    <t xml:space="preserve">unclassifiable (Anatomical System);lymph node;cartilage;ovary;colon;parathyroid;blood;choroid;skin;skeletal muscle;retina;pancreas;lung;adrenal gland;bone;placenta;alveolus;testis;cervix;kidney;brain;stomach;</t>
  </si>
  <si>
    <t xml:space="preserve">#Gene_name</t>
  </si>
  <si>
    <t xml:space="preserve">Tissue_specificity(Uniprot)</t>
  </si>
  <si>
    <t xml:space="preserve">Expression(egenetics)</t>
  </si>
  <si>
    <t xml:space="preserve">Expression(GNF/Atlas)</t>
  </si>
  <si>
    <t xml:space="preserve">OMIM-00</t>
  </si>
  <si>
    <t xml:space="preserve">OMIM-01</t>
  </si>
  <si>
    <t xml:space="preserve">OMIM-02</t>
  </si>
  <si>
    <t xml:space="preserve">OMIM-03</t>
  </si>
  <si>
    <t xml:space="preserve">OMIM-04</t>
  </si>
  <si>
    <t xml:space="preserve">OMIM-05</t>
  </si>
  <si>
    <t xml:space="preserve">OMIM-06</t>
  </si>
  <si>
    <t xml:space="preserve">A2ML1</t>
  </si>
  <si>
    <t xml:space="preserve">TISSUE SPECIFICITY: In the epidermis, expressed predominantly in the granular layer at the apical edge of keratinocytes (at protein level). Also detected in placenta, testis and thymus but not in epithelia of kidney, lung, small intestine or colon. {ECO:0000269|PubMed:16298998}.; </t>
  </si>
  <si>
    <t xml:space="preserve">unclassifiable (Anatomical System);breast;frontal lobe;larynx;hypopharynx;colon;head and neck;skin;skeletal muscle;</t>
  </si>
  <si>
    <t xml:space="preserve">dorsal root ganglion;superior cervical ganglion;tongue;globus pallidus;ciliary ganglion;pons;atrioventricular node;trigeminal ganglion;</t>
  </si>
  <si>
    <t xml:space="preserve">AAAS</t>
  </si>
  <si>
    <t xml:space="preserve">TISSUE SPECIFICITY: Widely expressed. Particularly abundant expression is found in cerebellum, corpus callosum, adrenal gland, pituitary gland, gastrointestinal structures and fetal lung. {ECO:0000269|PubMed:16022285}.; </t>
  </si>
  <si>
    <t xml:space="preserve">lymphoreticular;medulla oblongata;ovary;colon;choroid;skin;retina;bone marrow;uterus;prostate;whole body;endometrium;bone;iris;testis;germinal center;spinal ganglion;brain;bladder;unclassifiable (Anatomical System);trophoblast;cartilage;heart;islets of Langerhans;hypothalamus;blood;skeletal muscle;breast;pancreas;lung;epididymis;nasopharynx;placenta;visual apparatus;hippocampus;amnion;liver;spleen;cervix;kidney;mammary gland;stomach;cerebellum;thymus;</t>
  </si>
  <si>
    <t xml:space="preserve">ABCB5</t>
  </si>
  <si>
    <t xml:space="preserve">TISSUE SPECIFICITY: Expressed by CD133-expressing progenitor cells among epidermal melanocytes (at protein level). Widely expressed with specific expression in pigment cells. Highly expressed in several malignant tissues: highly expressed in clinical melanomas, with low expression in normal skin. In melanoma, marks malignant melanoma-initiating cells (MMIC), in which clinical virulence resides as a consequence of unlimited self-renewal capacity, resulting in inexorable tumor progression and metastasis. Also highly expressed in a number of leukemia cells. Expressed in basal limbal epithelium. {ECO:0000269|PubMed:12960149, ECO:0000269|PubMed:15760339, ECO:0000269|PubMed:22044138, ECO:0000269|PubMed:22675422, ECO:0000269|PubMed:22784549, ECO:0000269|PubMed:23770371, ECO:0000269|PubMed:24934811, ECO:0000269|PubMed:25030174}.; </t>
  </si>
  <si>
    <t xml:space="preserve">testis;mammary gland;skin;</t>
  </si>
  <si>
    <t xml:space="preserve">dorsal root ganglion;ciliary ganglion;atrioventricular node;</t>
  </si>
  <si>
    <t xml:space="preserve">ACAD9</t>
  </si>
  <si>
    <t xml:space="preserve">2.07158412910707e-05</t>
  </si>
  <si>
    <t xml:space="preserve">acyl-CoA dehydrogenase family member 9</t>
  </si>
  <si>
    <t xml:space="preserve">TISSUE SPECIFICITY: Ubiquitously expressed in most normal human tissues and cancer cell lines with high level of expression in heart, skeletal muscles, brain, kidney and liver. {ECO:0000269|PubMed:12359260}.; </t>
  </si>
  <si>
    <t xml:space="preserve">medulla oblongata;ovary;skin;bone marrow;retina;prostate;optic nerve;frontal lobe;endometrium;thyroid;germinal center;bladder;brain;tonsil;heart;cartilage;tongue;spinal cord;pharynx;blood;lens;skeletal muscle;breast;macula lutea;visual apparatus;liver;spleen;cervix;mammary gland;salivary gland;intestine;colon;parathyroid;fovea centralis;choroid;uterus;larynx;bone;pituitary gland;testis;unclassifiable (Anatomical System);lymph node;islets of Langerhans;hypothalamus;muscle;lung;placenta;hypopharynx;head and neck;kidney;stomach;thymus;</t>
  </si>
  <si>
    <t xml:space="preserve">superior cervical ganglion;globus pallidus;</t>
  </si>
  <si>
    <t xml:space="preserve">ADGRL2</t>
  </si>
  <si>
    <t xml:space="preserve">TISSUE SPECIFICITY: Expressed very widely in all normal tissues tested. Expression is variable in tumor cell lines, apparently elevated in some lines and absent or markedly reduced in others. {ECO:0000269|PubMed:10030676}.; </t>
  </si>
  <si>
    <t xml:space="preserve">ADPGK</t>
  </si>
  <si>
    <t xml:space="preserve">ovary;skin;bone marrow;retina;prostate;optic nerve;endometrium;gum;thyroid;amniotic fluid;germinal center;brain;heart;cartilage;adrenal cortex;pharynx;blood;lens;breast;epididymis;visual apparatus;macula lutea;liver;alveolus;spleen;cervix;mammary gland;salivary gland;intestine;colon;parathyroid;choroid;fovea centralis;uterus;whole body;larynx;bone;testis;unclassifiable (Anatomical System);lymph node;hypothalamus;pancreas;lung;cornea;nasopharynx;placenta;hypopharynx;head and neck;kidney;stomach;</t>
  </si>
  <si>
    <t xml:space="preserve">dorsal root ganglion;superior cervical ganglion;bone marrow;</t>
  </si>
  <si>
    <t xml:space="preserve">AK9</t>
  </si>
  <si>
    <t xml:space="preserve">ANKRD27</t>
  </si>
  <si>
    <t xml:space="preserve">smooth muscle;ovary;salivary gland;intestine;colon;parathyroid;skin;uterus;prostate;whole body;frontal lobe;cerebral cortex;endometrium;larynx;bone;thyroid;testis;germinal center;brain;bladder;unclassifiable (Anatomical System);cartilage;heart;islets of Langerhans;pharynx;blood;skeletal muscle;breast;pancreas;lung;nasopharynx;placenta;visual apparatus;liver;spleen;head and neck;cervix;kidney;mammary gland;stomach;cerebellum;</t>
  </si>
  <si>
    <t xml:space="preserve">ANKRD30A</t>
  </si>
  <si>
    <t xml:space="preserve">TISSUE SPECIFICITY: Mainly expressed in breast and testis. A very faint signal is detected in placenta. Also expressed in many breast cancer cells. {ECO:0000269|PubMed:11280766}.; </t>
  </si>
  <si>
    <t xml:space="preserve">breast;lung;liver;testis;spleen;</t>
  </si>
  <si>
    <t xml:space="preserve">testis - interstitial;superior cervical ganglion;subthalamic nucleus;globus pallidus;ciliary ganglion;atrioventricular node;trigeminal ganglion;skin;</t>
  </si>
  <si>
    <t xml:space="preserve">ANKRD30BL</t>
  </si>
  <si>
    <t xml:space="preserve">lung;testis;</t>
  </si>
  <si>
    <t xml:space="preserve">ANKRD36BP2</t>
  </si>
  <si>
    <t xml:space="preserve">ANKRD36C</t>
  </si>
  <si>
    <t xml:space="preserve">unclassifiable (Anatomical System);lymph node;colon;skeletal muscle;retina;breast;uterus;prostate;whole body;lung;cornea;endometrium;larynx;nasopharynx;liver;testis;head and neck;germinal center;kidney;pineal gland;mammary gland;stomach;</t>
  </si>
  <si>
    <t xml:space="preserve">AP4B1-AS1</t>
  </si>
  <si>
    <t xml:space="preserve">AP4B1 antisense RNA 1</t>
  </si>
  <si>
    <t xml:space="preserve">ARL10</t>
  </si>
  <si>
    <t xml:space="preserve">lung;whole body;ovary;placenta;visual apparatus;testis;parathyroid;</t>
  </si>
  <si>
    <t xml:space="preserve">ARMC1</t>
  </si>
  <si>
    <t xml:space="preserve">smooth muscle;ovary;colon;skin;bone marrow;uterus;prostate;cochlea;endometrium;bone;pituitary gland;testis;germinal center;brain;unclassifiable (Anatomical System);lymph node;heart;cartilage;lacrimal gland;breast;lung;adrenal gland;placenta;visual apparatus;hippocampus;liver;duodenum;cervix;kidney;mammary gland;stomach;</t>
  </si>
  <si>
    <t xml:space="preserve">amygdala;superior cervical ganglion;medulla oblongata;prefrontal cortex;globus pallidus;pons;atrioventricular node;trigeminal ganglion;parietal lobe;skeletal muscle;</t>
  </si>
  <si>
    <t xml:space="preserve">ASTE1</t>
  </si>
  <si>
    <t xml:space="preserve">ovary;fovea centralis;skin;bone marrow;uterus;prostate;whole body;testis;germinal center;brain;unclassifiable (Anatomical System);lymph node;heart;cartilage;hypothalamus;skeletal muscle;breast;pancreas;lung;nasopharynx;placenta;macula lutea;visual apparatus;liver;spleen;cervix;kidney;mammary gland;stomach;</t>
  </si>
  <si>
    <t xml:space="preserve">parietal lobe;skeletal muscle;</t>
  </si>
  <si>
    <t xml:space="preserve">ATP13A4-AS1</t>
  </si>
  <si>
    <t xml:space="preserve">ATP13A4 antisense RNA 1</t>
  </si>
  <si>
    <t xml:space="preserve">ATRNL1</t>
  </si>
  <si>
    <t xml:space="preserve">unclassifiable (Anatomical System);heart;islets of Langerhans;colon;skin;uterus;pancreas;prostate;lung;frontal lobe;endometrium;bone;placenta;visual apparatus;pituitary gland;alveolus;hypopharynx;liver;testis;head and neck;spleen;kidney;brain;peripheral nerve;</t>
  </si>
  <si>
    <t xml:space="preserve">dorsal root ganglion;amygdala;superior cervical ganglion;medulla oblongata;occipital lobe;temporal lobe;pons;atrioventricular node;skeletal muscle;subthalamic nucleus;prefrontal cortex;globus pallidus;ciliary ganglion;trigeminal ganglion;cingulate cortex;parietal lobe;</t>
  </si>
  <si>
    <t xml:space="preserve">BAMBI</t>
  </si>
  <si>
    <t xml:space="preserve">TISSUE SPECIFICITY: High expression in kidney medulla, placenta and spleen; low in kidney cortex, liver, prostate and gut. Not expressed in normal skin, expression is high in melanocytes and in 3 out of 11 melanoma metastases tested.; </t>
  </si>
  <si>
    <t xml:space="preserve">BCYRN1</t>
  </si>
  <si>
    <t xml:space="preserve">brain cytoplasmic RNA 1</t>
  </si>
  <si>
    <t xml:space="preserve">BOD1L1</t>
  </si>
  <si>
    <t xml:space="preserve">C10orf55</t>
  </si>
  <si>
    <t xml:space="preserve">0.00506563580969443</t>
  </si>
  <si>
    <t xml:space="preserve">chromosome 10 open reading frame 55</t>
  </si>
  <si>
    <t xml:space="preserve">C1orf54</t>
  </si>
  <si>
    <t xml:space="preserve">C21orf2</t>
  </si>
  <si>
    <t xml:space="preserve">ovary;colon;parathyroid;skin;retina;bone marrow;uterus;prostate;optic nerve;frontal lobe;bone;testis;brain;unclassifiable (Anatomical System);lymph node;cartilage;heart;lacrimal gland;islets of Langerhans;muscle;blood;pancreas;lung;nasopharynx;placenta;hippocampus;liver;spleen;kidney;mammary gland;thymus;</t>
  </si>
  <si>
    <t xml:space="preserve">C2CD2</t>
  </si>
  <si>
    <t xml:space="preserve">ovary;colon;parathyroid;fovea centralis;skin;retina;uterus;prostate;optic nerve;frontal lobe;oesophagus;endometrium;bone;pituitary gland;testis;brain;bladder;unclassifiable (Anatomical System);heart;cartilage;adrenal cortex;lens;skeletal muscle;bile duct;lung;cornea;adrenal gland;nasopharynx;placenta;macula lutea;visual apparatus;liver;spleen;cervix;stomach;</t>
  </si>
  <si>
    <t xml:space="preserve">adrenal gland;adrenal cortex;</t>
  </si>
  <si>
    <t xml:space="preserve">C2orf73</t>
  </si>
  <si>
    <t xml:space="preserve">unclassifiable (Anatomical System);medulla oblongata;lung;testis;kidney;</t>
  </si>
  <si>
    <t xml:space="preserve">dorsal root ganglion;superior cervical ganglion;testis - interstitial;testis - seminiferous tubule;testis;ciliary ganglion;atrioventricular node;trigeminal ganglion;skeletal muscle;cerebellum;</t>
  </si>
  <si>
    <t xml:space="preserve">C4orf50</t>
  </si>
  <si>
    <t xml:space="preserve">frontal lobe;kidney;brain;</t>
  </si>
  <si>
    <t xml:space="preserve">CABP1</t>
  </si>
  <si>
    <t xml:space="preserve">TISSUE SPECIFICITY: Retina and brain. Somatodendritic compartment of neurons. Calbrain was found exclusively in brain where it is abundant in the hippocampus, habenular area in the epithalamus and in the cerebellum.; </t>
  </si>
  <si>
    <t xml:space="preserve">unclassifiable (Anatomical System);hypothalamus;pineal body;colon;fovea centralis;choroid;lens;retina;optic nerve;lung;frontal lobe;macula lutea;testis;kidney;pineal gland;brain;</t>
  </si>
  <si>
    <t xml:space="preserve">amygdala;whole brain;occipital lobe;medulla oblongata;temporal lobe;pons;atrioventricular node;subthalamic nucleus;prefrontal cortex;globus pallidus;ciliary ganglion;trigeminal ganglion;cingulate cortex;parietal lobe;</t>
  </si>
  <si>
    <t xml:space="preserve">CAMP</t>
  </si>
  <si>
    <t xml:space="preserve">TISSUE SPECIFICITY: Expressed in bone marrow and testis and neutrophils.; </t>
  </si>
  <si>
    <t xml:space="preserve">myocardium;pancreas;lung;thyroid;testis;blood;germinal center;lens;bone marrow;</t>
  </si>
  <si>
    <t xml:space="preserve">testis;whole blood;skeletal muscle;bone marrow;</t>
  </si>
  <si>
    <t xml:space="preserve">CAMSAP1</t>
  </si>
  <si>
    <t xml:space="preserve">ovary;parathyroid;skin;retina;bone marrow;uterus;whole body;bone;iris;testis;germinal center;brain;pineal gland;gall bladder;unclassifiable (Anatomical System);heart;tongue;islets of Langerhans;blood;lens;skeletal muscle;pancreas;lung;epididymis;visual apparatus;liver;spleen;head and neck;cervix;mammary gland;stomach;peripheral nerve;thymus;</t>
  </si>
  <si>
    <t xml:space="preserve">amygdala;whole brain;dorsal root ganglion;testis - interstitial;superior cervical ganglion;thalamus;medulla oblongata;occipital lobe;cerebellum peduncles;temporal lobe;pons;caudate nucleus;skeletal muscle;subthalamic nucleus;fetal brain;testis - seminiferous tubule;prefrontal cortex;globus pallidus;testis;ciliary ganglion;trigeminal ganglion;cingulate cortex;parietal lobe;cerebellum;</t>
  </si>
  <si>
    <t xml:space="preserve">CAPN7</t>
  </si>
  <si>
    <t xml:space="preserve">smooth muscle;ovary;salivary gland;intestine;colon;parathyroid;fovea centralis;skin;retina;bone marrow;uterus;prostate;whole body;endometrium;bone;thyroid;testis;germinal center;brain;artery;bladder;unclassifiable (Anatomical System);lymph node;cartilage;heart;islets of Langerhans;hypothalamus;pharynx;blood;skeletal muscle;breast;lung;adrenal gland;placenta;macula lutea;visual apparatus;liver;head and neck;cervix;kidney;mammary gland;aorta;stomach;thymus;</t>
  </si>
  <si>
    <t xml:space="preserve">superior cervical ganglion;testis - interstitial;trigeminal ganglion;</t>
  </si>
  <si>
    <t xml:space="preserve">CATSPER4</t>
  </si>
  <si>
    <t xml:space="preserve">TISSUE SPECIFICITY: Testis-specific. {ECO:0000269|PubMed:12932298, ECO:0000269|PubMed:17347248}.; </t>
  </si>
  <si>
    <t xml:space="preserve">testis;</t>
  </si>
  <si>
    <t xml:space="preserve">CBS</t>
  </si>
  <si>
    <t xml:space="preserve">cystathionine-beta-synthase</t>
  </si>
  <si>
    <t xml:space="preserve">FUNCTION: Hydro-lyase catalyzing the first step of the transsulfuration pathway, where the hydroxyl group of L-serine is displaced by L-homocysteine in a beta-replacement reaction to form L-cystathionine, the precursor of L-cysteine. This catabolic route allows the elimination of L-methionine and the toxic metabolite L- homocysteine (PubMed:23981774, PubMed:20506325, PubMed:23974653). Also involved in the production of hydrogen sulfide, a gasotransmitter with signaling and cytoprotective effects on neurons (By similarity). {ECO:0000250|UniProtKB:P32232, ECO:0000269|PubMed:20506325, ECO:0000269|PubMed:23974653, ECO:0000269|PubMed:23981774}.; </t>
  </si>
  <si>
    <t xml:space="preserve">TISSUE SPECIFICITY: In the adult strongly expressed in liver and pancreas, some expression in heart and brain, weak expression in lung and kidney. In the fetus, expressed in brain, liver and kidney.; </t>
  </si>
  <si>
    <t xml:space="preserve">lymphoreticular;ovary;colon;skin;bone marrow;uterus;prostate;frontal lobe;cerebral cortex;bone;iris;pituitary gland;testis;brain;unclassifiable (Anatomical System);lymph node;cartilage;heart;tongue;islets of Langerhans;muscle;skeletal muscle;breast;pancreas;lung;cornea;epididymis;placenta;visual apparatus;liver;amnion;spleen;head and neck;cervix;kidney;mammary gland;stomach;</t>
  </si>
  <si>
    <t xml:space="preserve">superior cervical ganglion;liver;</t>
  </si>
  <si>
    <t xml:space="preserve">CBSL</t>
  </si>
  <si>
    <t xml:space="preserve">cystathionine-beta-synthase like</t>
  </si>
  <si>
    <t xml:space="preserve">FUNCTION: Hydro-lyase catalyzing the first step of the transsulfuration pathway, where the hydroxyl group of L-serine is displaced by L-homocysteine in a beta-replacement reaction to form L-cystathionine, the precursor of L-cysteine. This catabolic route allows the elimination of L-methionine and the toxic metabolite L- homocysteine. Also involved in the production of hydrogen sulfide, a gasotransmitter with signaling and cytoprotective effects on neurons. {ECO:0000250|UniProtKB:P32232, ECO:0000250|UniProtKB:P35520}.; </t>
  </si>
  <si>
    <t xml:space="preserve">CBWD1</t>
  </si>
  <si>
    <t xml:space="preserve">TISSUE SPECIFICITY: Ubiquitously expressed. Up-regulated in cultured astrocytes treated with dopamine. {ECO:0000269|PubMed:15233989}.; </t>
  </si>
  <si>
    <t xml:space="preserve">lymphoreticular;smooth muscle;ovary;skin;bone marrow;retina;prostate;optic nerve;cochlea;endometrium;gum;thyroid;germinal center;bladder;brain;heart;cartilage;urinary;pharynx;blood;lens;skeletal muscle;breast;macula lutea;visual apparatus;liver;spleen;cervix;mammary gland;salivary gland;intestine;colon;parathyroid;fovea centralis;choroid;vein;uterus;whole body;bone;testis;pineal gland;unclassifiable (Anatomical System);lymph node;islets of Langerhans;hypothalamus;bile duct;pancreas;lung;adrenal gland;nasopharynx;placenta;hippocampus;head and neck;kidney;stomach;aorta;thymus;</t>
  </si>
  <si>
    <t xml:space="preserve">CCDC57</t>
  </si>
  <si>
    <t xml:space="preserve">unclassifiable (Anatomical System);heart;lacrimal gland;salivary gland;colon;parathyroid;skin;breast;uterus;optic nerve;lung;larynx;epididymis;thyroid;pituitary gland;liver;testis;head and neck;spleen;germinal center;kidney;brain;stomach;cerebellum;</t>
  </si>
  <si>
    <t xml:space="preserve">amygdala;superior cervical ganglion;ciliary ganglion;trigeminal ganglion;skeletal muscle;</t>
  </si>
  <si>
    <t xml:space="preserve">CCDC80</t>
  </si>
  <si>
    <t xml:space="preserve">TISSUE SPECIFICITY: Expressed in dermal papilla and dermal fibroblasts (at protein level). Expressed in heart, thymus, placenta, pancreas, colon, epithelium, spleen and osteoblasts. {ECO:0000269|PubMed:15325258, ECO:0000269|PubMed:15563452, ECO:0000269|PubMed:15998583}.; </t>
  </si>
  <si>
    <t xml:space="preserve">myocardium;ovary;colon;parathyroid;fovea centralis;choroid;skin;retina;bone marrow;uterus;prostate;optic nerve;whole body;cochlea;cerebral cortex;endometrium;larynx;bone;thyroid;testis;spinal ganglion;brain;unclassifiable (Anatomical System);lymph node;cartilage;heart;tongue;islets of Langerhans;pineal body;lens;skeletal muscle;bile duct;breast;pancreas;lung;epididymis;trabecular meshwork;placenta;macula lutea;visual apparatus;liver;spleen;head and neck;kidney;mammary gland;stomach;peripheral nerve;</t>
  </si>
  <si>
    <t xml:space="preserve">uterus;superior cervical ganglion;smooth muscle;adipose tissue;heart;testis;ciliary ganglion;</t>
  </si>
  <si>
    <t xml:space="preserve">CCT4</t>
  </si>
  <si>
    <t xml:space="preserve">CINP</t>
  </si>
  <si>
    <t xml:space="preserve">medulla oblongata;ovary;skin;retina;prostate;optic nerve;endometrium;thyroid;germinal center;bladder;brain;heart;cartilage;spinal cord;adrenal cortex;pharynx;blood;lens;skeletal muscle;macula lutea;visual apparatus;liver;spleen;cervix;mammary gland;salivary gland;intestine;colon;parathyroid;fovea centralis;choroid;uterus;whole body;larynx;bone;testis;pineal gland;unclassifiable (Anatomical System);lymph node;trophoblast;islets of Langerhans;muscle;bile duct;pancreas;lung;cornea;mesenchyma;placenta;hippocampus;hypopharynx;head and neck;kidney;stomach;</t>
  </si>
  <si>
    <t xml:space="preserve">CNR2</t>
  </si>
  <si>
    <t xml:space="preserve">TISSUE SPECIFICITY: Preferentially expressed in cells of the immune system with higher expression in B-cells and NK cells (at protein level). Expressed in skin in suprabasal layers and hair follicles (at protein level). Highly expressed in tonsil and to a lower extent in spleen, peripheral blood mononuclear cells, and thymus. PubMed:14657172 could not detect expression in normal brain. Expressed in brain by perivascular microglial cells and dorsal root ganglion sensory neurons (at protein level). Two isoforms are produced by alternative promoter usage and differ only in the 5' UTR: isoform CB2A is observed predominantly in testis with some expression in brain, while isoform CB2B is predominant in spleen and leukocytes. {ECO:0000269|PubMed:12153574, ECO:0000269|PubMed:12511587, ECO:0000269|PubMed:14657172, ECO:0000269|PubMed:15266552, ECO:0000269|PubMed:18692962, ECO:0000269|PubMed:19496827, ECO:0000269|PubMed:7556170}.; </t>
  </si>
  <si>
    <t xml:space="preserve">COL6A6</t>
  </si>
  <si>
    <t xml:space="preserve">CRIPAK</t>
  </si>
  <si>
    <t xml:space="preserve">TISSUE SPECIFICITY: Widely expressed with a highest expression observed in trachea, prostate and adrenal glands. Expressed in many cancer cell lines including breast cancer cells. {ECO:0000269|PubMed:16278681}.; </t>
  </si>
  <si>
    <t xml:space="preserve">heart;ovary;blood;skin;uterus;pancreas;lung;endometrium;bone;visual apparatus;liver;pituitary gland;testis;spleen;brain;stomach;</t>
  </si>
  <si>
    <t xml:space="preserve">CTBP2</t>
  </si>
  <si>
    <t xml:space="preserve">TISSUE SPECIFICITY: Ubiquitous. Highest levels in heart, skeletal muscle, and pancreas.; </t>
  </si>
  <si>
    <t xml:space="preserve">ovary;skin;retina;bone marrow;prostate;optic nerve;endometrium;thyroid;germinal center;bladder;brain;heart;cartilage;tongue;adrenal cortex;pharynx;blood;lens;breast;trabecular meshwork;macula lutea;visual apparatus;liver;spleen;cervix;mammary gland;salivary gland;intestine;colon;parathyroid;fovea centralis;choroid;vein;uterus;whole body;oesophagus;cerebral cortex;larynx;synovium;bone;testis;unclassifiable (Anatomical System);lacrimal gland;islets of Langerhans;hypothalamus;muscle;pancreas;lung;adrenal gland;placenta;head and neck;kidney;stomach;cerebellum;</t>
  </si>
  <si>
    <t xml:space="preserve">superior cervical ganglion;ciliary ganglion;trigeminal ganglion;skeletal muscle;</t>
  </si>
  <si>
    <t xml:space="preserve">CTDSP2</t>
  </si>
  <si>
    <t xml:space="preserve">TISSUE SPECIFICITY: Expression is restricted to non-neuronal tissues. Highest expression in pancreas and lowest in liver. {ECO:0000269|PubMed:15681389}.; </t>
  </si>
  <si>
    <t xml:space="preserve">CYP2A7</t>
  </si>
  <si>
    <t xml:space="preserve">unclassifiable (Anatomical System);breast;lung;liver;mammary gland;</t>
  </si>
  <si>
    <t xml:space="preserve">dorsal root ganglion;superior cervical ganglion;liver;atrioventricular node;trigeminal ganglion;parietal lobe;skeletal muscle;</t>
  </si>
  <si>
    <t xml:space="preserve">DCUN1D1</t>
  </si>
  <si>
    <t xml:space="preserve">TISSUE SPECIFICITY: Expressed in pancreas, kidney, placenta, brain and heart. Weakly or not expressed in liver, skeletal muscle and lung. Strongly overexpressed in thyroid tumors, bronchioloalveolar carcinomas, and malignant tissues of squamous cell carcinoma of the oral tongue. Not overexpressed in aggressive adrenocortical carcinomas. {ECO:0000269|PubMed:10777668}.; </t>
  </si>
  <si>
    <t xml:space="preserve">ovary;sympathetic chain;developmental;colon;parathyroid;skin;uterus;prostate;frontal lobe;cochlea;endometrium;bone;thyroid;testis;germinal center;brain;bladder;pineal gland;unclassifiable (Anatomical System);lymph node;cartilage;heart;urinary;adrenal cortex;blood;skeletal muscle;lung;adrenal gland;nasopharynx;placenta;visual apparatus;hippocampus;liver;kidney;mammary gland;stomach;</t>
  </si>
  <si>
    <t xml:space="preserve">dorsal root ganglion;superior cervical ganglion;fetal liver;ciliary ganglion;atrioventricular node;pons;trigeminal ganglion;</t>
  </si>
  <si>
    <t xml:space="preserve">DDX11</t>
  </si>
  <si>
    <t xml:space="preserve">TISSUE SPECIFICITY: Highly expressed in spleen, B-cells, thymus, testis, ovary, small intestine, and pancreas. Very low expression seen in the brain. Expressed in dividing cells and/or cells undergoing high levels of recombination. No expression is seen in cells signaled to terminally differentiate. Expressed in keratinocyte growth factor-stimulated cells but not in serum, EGF and IL1-beta-treated keratinocytes. {ECO:0000269|PubMed:8798685, ECO:0000269|PubMed:9013641}.; </t>
  </si>
  <si>
    <t xml:space="preserve">lymphoreticular;smooth muscle;ovary;colon;skin;uterus;prostate;optic nerve;frontal lobe;endometrium;bone;testis;germinal center;brain;pineal gland;unclassifiable (Anatomical System);lymph node;cartilage;heart;blood;skeletal muscle;pancreas;lung;epididymis;nasopharynx;placenta;liver;duodenum;spleen;cervix;kidney;mammary gland;stomach;thymus;</t>
  </si>
  <si>
    <t xml:space="preserve">superior cervical ganglion;testis;atrioventricular node;</t>
  </si>
  <si>
    <t xml:space="preserve">DEPDC1B</t>
  </si>
  <si>
    <t xml:space="preserve">unclassifiable (Anatomical System);lymph node;ovary;colon;parathyroid;skin;skeletal muscle;bone marrow;uterus;pancreas;prostate;whole body;lung;placenta;visual apparatus;testis;germinal center;kidney;brain;stomach;</t>
  </si>
  <si>
    <t xml:space="preserve">DGCR6</t>
  </si>
  <si>
    <t xml:space="preserve">TISSUE SPECIFICITY: Found in all tissues examined with highest expression in liver, heart and skeletal muscle. Lower levels in pancreas and placenta. Weak expression in brain. {ECO:0000269|PubMed:11157784, ECO:0000269|PubMed:15821931}.; </t>
  </si>
  <si>
    <t xml:space="preserve">myocardium;ovary;colon;parathyroid;skin;retina;bone marrow;uterus;prostate;optic nerve;whole body;frontal lobe;bone;iris;testis;brain;unclassifiable (Anatomical System);lymph node;heart;islets of Langerhans;hypothalamus;spinal cord;muscle;adrenal cortex;blood;lens;skeletal muscle;lung;epididymis;placenta;visual apparatus;hippocampus;liver;alveolus;spleen;cervix;kidney;mammary gland;aorta;</t>
  </si>
  <si>
    <t xml:space="preserve">DIXDC1</t>
  </si>
  <si>
    <t xml:space="preserve">TISSUE SPECIFICITY: Ubiquitously expressed with higher expression in cardiac and skeletal muscles. {ECO:0000269|PubMed:16814745}.; </t>
  </si>
  <si>
    <t xml:space="preserve">smooth muscle;fovea centralis;choroid;skin;bone marrow;retina;uterus;prostate;optic nerve;frontal lobe;thyroid;bone;brain;unclassifiable (Anatomical System);heart;islets of Langerhans;lens;skeletal muscle;breast;lung;placenta;hippocampus;visual apparatus;macula lutea;liver;spleen;stomach;</t>
  </si>
  <si>
    <t xml:space="preserve">amygdala;whole brain;occipital lobe;thalamus;adipose tissue;hypothalamus;spinal cord;caudate nucleus;uterus;fetal brain;thyroid;prefrontal cortex;parietal lobe;cerebellum;</t>
  </si>
  <si>
    <t xml:space="preserve">DLG3-AS1</t>
  </si>
  <si>
    <t xml:space="preserve">DLG3 antisense RNA 1</t>
  </si>
  <si>
    <t xml:space="preserve">DNAH12</t>
  </si>
  <si>
    <t xml:space="preserve">unclassifiable (Anatomical System);pancreas;lung;nasopharynx;testis;</t>
  </si>
  <si>
    <t xml:space="preserve">dorsal root ganglion;testis - interstitial;superior cervical ganglion;testis - seminiferous tubule;testis;ciliary ganglion;atrioventricular node;trigeminal ganglion;skeletal muscle;</t>
  </si>
  <si>
    <t xml:space="preserve">DPPA2</t>
  </si>
  <si>
    <t xml:space="preserve">TISSUE SPECIFICITY: Expressed in embryonic stem cells. No expression is seen in 5 months embryo, mesenchymal stem cells, embryonic fibrocytes and adult tissues. {ECO:0000269|PubMed:15583978}.; </t>
  </si>
  <si>
    <t xml:space="preserve">DPYSL3</t>
  </si>
  <si>
    <t xml:space="preserve">TISSUE SPECIFICITY: Mainly expressed in heart and skeletal muscle. Also strongly expressed in fetal brain and spinal cord.; </t>
  </si>
  <si>
    <t xml:space="preserve">lymphoreticular;myocardium;ovary;sympathetic chain;colon;parathyroid;fovea centralis;choroid;skin;retina;uterus;prostate;optic nerve;whole body;frontal lobe;bone;thyroid;iris;testis;spinal ganglion;brain;unclassifiable (Anatomical System);lymph node;trophoblast;cartilage;heart;tongue;islets of Langerhans;urinary;lens;skeletal muscle;breast;pancreas;lung;trabecular meshwork;placenta;macula lutea;visual apparatus;liver;spleen;head and neck;kidney;mammary gland;stomach;aorta;peripheral nerve;</t>
  </si>
  <si>
    <t xml:space="preserve">dorsal root ganglion;amygdala;superior cervical ganglion;fetal brain;hypothalamus;spinal cord;ciliary ganglion;caudate nucleus;trigeminal ganglion;</t>
  </si>
  <si>
    <t xml:space="preserve">ELMO2</t>
  </si>
  <si>
    <t xml:space="preserve">TISSUE SPECIFICITY: Widely expressed, with a higher expression in skeletal muscle, kidney and placenta. {ECO:0000269|PubMed:11595183}.; </t>
  </si>
  <si>
    <t xml:space="preserve">smooth muscle;colon;fovea centralis;choroid;skin;retina;bone marrow;uterus;prostate;optic nerve;whole body;frontal lobe;cochlea;endometrium;bone;thyroid;iris;testis;germinal center;brain;unclassifiable (Anatomical System);lymph node;cartilage;heart;islets of Langerhans;blood;lens;skeletal muscle;bile duct;breast;pancreas;lung;placenta;macula lutea;visual apparatus;liver;spleen;head and neck;cervix;mammary gland;stomach;peripheral nerve;</t>
  </si>
  <si>
    <t xml:space="preserve">amygdala;whole brain;occipital lobe;superior cervical ganglion;cerebellum peduncles;prefrontal cortex;testis;globus pallidus;cingulate cortex;skeletal muscle;cerebellum;</t>
  </si>
  <si>
    <t xml:space="preserve">FAM25C</t>
  </si>
  <si>
    <t xml:space="preserve">family with sequence similarity 25 member C</t>
  </si>
  <si>
    <t xml:space="preserve">unclassifiable (Anatomical System);lung;placenta;testis;blood;bone marrow;</t>
  </si>
  <si>
    <t xml:space="preserve">FAM25G</t>
  </si>
  <si>
    <t xml:space="preserve">family with sequence similarity 25 member G</t>
  </si>
  <si>
    <t xml:space="preserve">FAM72A</t>
  </si>
  <si>
    <t xml:space="preserve">TISSUE SPECIFICITY: May be up-regulated in malignant colon cancers, compared to normal colon and colon adenomas. Expression is also elevated in other common cancer types, including breast, lung, uterus, and ovary. {ECO:0000269|PubMed:18676834}.; </t>
  </si>
  <si>
    <t xml:space="preserve">ovary;colon;skin;uterus;prostate;whole body;larynx;thyroid;bone;testis;germinal center;bladder;unclassifiable (Anatomical System);heart;cartilage;blood;skeletal muscle;breast;pancreas;lung;placenta;visual apparatus;duodenum;spleen;head and neck;mammary gland;stomach;</t>
  </si>
  <si>
    <t xml:space="preserve">FCGBP</t>
  </si>
  <si>
    <t xml:space="preserve">TISSUE SPECIFICITY: Mainly expressed in placenta and colon epithelium. Expressed in thyroid, and down-regulated in thyroid carcinomas. Present in serum, with higher levels in patients with various autoimmune diseases (at protein level). {ECO:0000269|PubMed:11600203, ECO:0000269|PubMed:12208673, ECO:0000269|PubMed:9182547}.; </t>
  </si>
  <si>
    <t xml:space="preserve">lymphoreticular;myocardium;ovary;colon;parathyroid;choroid;skin;retina;uterus;prostate;optic nerve;frontal lobe;cerebral cortex;endometrium;larynx;bone;thyroid;iris;testis;germinal center;brain;unclassifiable (Anatomical System);tongue;islets of Langerhans;muscle;blood;skeletal muscle;pancreas;lung;trabecular meshwork;placenta;liver;spleen;head and neck;cervix;kidney;mammary gland;stomach;</t>
  </si>
  <si>
    <t xml:space="preserve">dorsal root ganglion;superior cervical ganglion;trachea;thyroid;fetal thyroid;</t>
  </si>
  <si>
    <t xml:space="preserve">GDI2</t>
  </si>
  <si>
    <t xml:space="preserve">TISSUE SPECIFICITY: Ubiquitous. {ECO:0000269|PubMed:7543319}.; </t>
  </si>
  <si>
    <t xml:space="preserve">GMCL1</t>
  </si>
  <si>
    <t xml:space="preserve">medulla oblongata;ovary;colon;skin;bone marrow;uterus;prostate;testis;germinal center;brain;unclassifiable (Anatomical System);small intestine;cartilage;cerebellum cortex;islets of Langerhans;blood;skeletal muscle;breast;lung;adrenal gland;trabecular meshwork;placenta;visual apparatus;hippocampus;liver;kidney;mammary gland;stomach;</t>
  </si>
  <si>
    <t xml:space="preserve">dorsal root ganglion;superior cervical ganglion;testis - seminiferous tubule;testis;ciliary ganglion;atrioventricular node;trigeminal ganglion;</t>
  </si>
  <si>
    <t xml:space="preserve">GPD2</t>
  </si>
  <si>
    <t xml:space="preserve">unclassifiable (Anatomical System);cartilage;heart;ovary;islets of Langerhans;skin;skeletal muscle;retina;uterus;breast;lung;hypopharynx;liver;testis;head and neck;spleen;germinal center;brain;stomach;</t>
  </si>
  <si>
    <t xml:space="preserve">GTF2IP1</t>
  </si>
  <si>
    <t xml:space="preserve">general transcription factor IIi pseudogene 1</t>
  </si>
  <si>
    <t xml:space="preserve">GTF2IP4</t>
  </si>
  <si>
    <t xml:space="preserve">general transcription factor IIi pseudogene 4</t>
  </si>
  <si>
    <t xml:space="preserve">GULP1</t>
  </si>
  <si>
    <t xml:space="preserve">TISSUE SPECIFICITY: Widely expressed. Detected in macrophages, pancreas, kidney, skeletal muscle, heart, colon, intestine, lung, placenta and ovary. {ECO:0000269|PubMed:10574763}.; </t>
  </si>
  <si>
    <t xml:space="preserve">ovary;salivary gland;intestine;colon;parathyroid;skin;bone marrow;prostate;whole body;endometrium;testis;brain;unclassifiable (Anatomical System);heart;islets of Langerhans;spinal cord;adrenal cortex;pharynx;blood;skeletal muscle;breast;pancreas;lung;cornea;placenta;visual apparatus;liver;kidney;mammary gland;stomach;aorta;</t>
  </si>
  <si>
    <t xml:space="preserve">dorsal root ganglion;superior cervical ganglion;testis - interstitial;testis - seminiferous tubule;placenta;testis;globus pallidus;atrioventricular node;skeletal muscle;</t>
  </si>
  <si>
    <t xml:space="preserve">HEATR5A</t>
  </si>
  <si>
    <t xml:space="preserve">HLA-DQA1</t>
  </si>
  <si>
    <t xml:space="preserve">lymphoreticular;ovary;colon;fovea centralis;choroid;skin;retina;bone marrow;uterus;optic nerve;endometrium;larynx;bone;thyroid;testis;germinal center;brain;artery;tonsil;unclassifiable (Anatomical System);cartilage;heart;islets of Langerhans;urinary;blood;lens;pancreas;lung;adrenal gland;nasopharynx;placenta;macula lutea;hippocampus;liver;spleen;head and neck;kidney;mammary gland;aorta;stomach;</t>
  </si>
  <si>
    <t xml:space="preserve">ciliary ganglion;</t>
  </si>
  <si>
    <t xml:space="preserve">HRASLS</t>
  </si>
  <si>
    <t xml:space="preserve">TISSUE SPECIFICITY: Abundantly expressed in testis, skeletal muscle, brain, and heart. {ECO:0000269|PubMed:21880860}.; </t>
  </si>
  <si>
    <t xml:space="preserve">unclassifiable (Anatomical System);uterus;lung;whole body;ovary;macula lutea;testis;cervix;fovea centralis;brain;pineal gland;skeletal muscle;</t>
  </si>
  <si>
    <t xml:space="preserve">IGSF3</t>
  </si>
  <si>
    <t xml:space="preserve">TISSUE SPECIFICITY: Expressed in a wide range of tissues with High expression in Placenta, kidney and lung. {ECO:0000269|PubMed:9790749}.; </t>
  </si>
  <si>
    <t xml:space="preserve">unclassifiable (Anatomical System);skeletal muscle;skin;retina;whole body;lung;placenta;thyroid;bone;hypopharynx;head and neck;kidney;brain;mammary gland;stomach;</t>
  </si>
  <si>
    <t xml:space="preserve">superior cervical ganglion;fetal brain;placenta;ciliary ganglion;skeletal muscle;</t>
  </si>
  <si>
    <t xml:space="preserve">ITPR3</t>
  </si>
  <si>
    <t xml:space="preserve">TISSUE SPECIFICITY: Expressed in intestinal crypt and villus epithelial cells.; </t>
  </si>
  <si>
    <t xml:space="preserve">KBTBD7</t>
  </si>
  <si>
    <t xml:space="preserve">KCNK12</t>
  </si>
  <si>
    <t xml:space="preserve">0.671633264361772</t>
  </si>
  <si>
    <t xml:space="preserve">potassium two pore domain channel subfamily K member 12</t>
  </si>
  <si>
    <t xml:space="preserve">FUNCTION: Probable potassium channel subunit. No channel activity observed in heterologous systems. May need to associate with another protein to form a functional channel (By similarity). {ECO:0000250}.; </t>
  </si>
  <si>
    <t xml:space="preserve">unclassifiable (Anatomical System);lymphoreticular;lymph node;cerebral cortex;islets of Langerhans;placenta;colon;kidney;brain;stomach;tonsil;</t>
  </si>
  <si>
    <t xml:space="preserve">whole brain;amygdala;dorsal root ganglion;occipital lobe;olfactory bulb;cerebellum peduncles;spinal cord;pons;atrioventricular node;uterus corpus;globus pallidus;ciliary ganglion;cerebellum;</t>
  </si>
  <si>
    <t xml:space="preserve">KDM1B</t>
  </si>
  <si>
    <t xml:space="preserve">unclassifiable (Anatomical System);colon;skin;retina;uterus;breast;whole body;lung;frontal lobe;synovium;thyroid;duodenum;liver;testis;cervix;germinal center;brain;stomach;</t>
  </si>
  <si>
    <t xml:space="preserve">superior cervical ganglion;atrioventricular node;trigeminal ganglion;</t>
  </si>
  <si>
    <t xml:space="preserve">KEL</t>
  </si>
  <si>
    <t xml:space="preserve">TISSUE SPECIFICITY: Expressed at high levels in erythrocytes and testis (in Sertoli cells), and, at lower levels, in skeletal muscle, tonsils (in follicular dendritic cells), lymph node, spleen and appendix (at protein level). Also expressed in many adult and fetal nonerythroid tissues, including brain, spleen, lymph nodes and bone marrow. {ECO:0000269|PubMed:10891471, ECO:0000269|PubMed:11336649}.; </t>
  </si>
  <si>
    <t xml:space="preserve">unclassifiable (Anatomical System);breast;medulla oblongata;lung;bone;liver;alveolus;testis;spleen;skin;</t>
  </si>
  <si>
    <t xml:space="preserve">fetal liver;testis;ciliary ganglion;</t>
  </si>
  <si>
    <t xml:space="preserve">KIAA1257</t>
  </si>
  <si>
    <t xml:space="preserve">1.74543485053087e-08</t>
  </si>
  <si>
    <t xml:space="preserve">unclassifiable (Anatomical System);medulla oblongata;lung;whole body;testis;stomach;</t>
  </si>
  <si>
    <t xml:space="preserve">unclassifiable (Anatomical System);prostate;pancreas;optic nerve;cartilage;heart;cerebral cortex;endometrium;iris;brain;retina;cerebellum;</t>
  </si>
  <si>
    <t xml:space="preserve">KIF26B</t>
  </si>
  <si>
    <t xml:space="preserve">KLHDC9</t>
  </si>
  <si>
    <t xml:space="preserve">KMT2C</t>
  </si>
  <si>
    <t xml:space="preserve">TISSUE SPECIFICITY: Highly expressed in testis and ovary, followed by brain and liver. Also expressed in placenta, peripherical blood, fetal thymus, heart, lung and kidney. Within brain, expression was highest in hippocampus, caudate nucleus, and substantia nigra. Not detected in skeletal muscle and fetal liver.; </t>
  </si>
  <si>
    <t xml:space="preserve">LRRC73</t>
  </si>
  <si>
    <t xml:space="preserve">MBOAT1</t>
  </si>
  <si>
    <t xml:space="preserve">TISSUE SPECIFICITY: Expressed in neutrophils. {ECO:0000269|PubMed:18772128}.; </t>
  </si>
  <si>
    <t xml:space="preserve">unclassifiable (Anatomical System);cartilage;ovary;tongue;hypothalamus;colon;skeletal muscle;breast;uterus;pancreas;prostate;lung;cochlea;endometrium;bone;thyroid;placenta;liver;testis;head and neck;spleen;kidney;mammary gland;stomach;</t>
  </si>
  <si>
    <t xml:space="preserve">MED13</t>
  </si>
  <si>
    <t xml:space="preserve">TISSUE SPECIFICITY: Ubiquitous. {ECO:0000269|PubMed:10198638}.; </t>
  </si>
  <si>
    <t xml:space="preserve">ovary;salivary gland;intestine;colon;skin;retina;bone marrow;uterus;prostate;frontal lobe;endometrium;larynx;bone;thyroid;pituitary gland;testis;germinal center;spinal ganglion;brain;bladder;unclassifiable (Anatomical System);lymph node;cartilage;hypothalamus;pharynx;blood;skeletal muscle;breast;bile duct;lung;placenta;visual apparatus;hypopharynx;duodenum;liver;spleen;head and neck;kidney;stomach;thymus;</t>
  </si>
  <si>
    <t xml:space="preserve">superior cervical ganglion;prefrontal cortex;ciliary ganglion;trigeminal ganglion;parietal lobe;cingulate cortex;skeletal muscle;</t>
  </si>
  <si>
    <t xml:space="preserve">MEX3D</t>
  </si>
  <si>
    <t xml:space="preserve">TISSUE SPECIFICITY: Ubiquitously expressed in all the cell lines and tissues tested. {ECO:0000269|PubMed:17267406}.; </t>
  </si>
  <si>
    <t xml:space="preserve">unclassifiable (Anatomical System);heart;ovary;islets of Langerhans;colon;lens;skin;uterus;prostate;lung;placenta;bone;testis;brain;aorta;stomach;</t>
  </si>
  <si>
    <t xml:space="preserve">dorsal root ganglion;superior cervical ganglion;testis - interstitial;placenta;ciliary ganglion;trigeminal ganglion;cerebellum;</t>
  </si>
  <si>
    <t xml:space="preserve">MIR1268A</t>
  </si>
  <si>
    <t xml:space="preserve">microRNA 1268a</t>
  </si>
  <si>
    <t xml:space="preserve">MIR3163</t>
  </si>
  <si>
    <t xml:space="preserve">microRNA 3163</t>
  </si>
  <si>
    <t xml:space="preserve">MMS19</t>
  </si>
  <si>
    <t xml:space="preserve">TISSUE SPECIFICITY: Ubiquitously expressed with higher expression in testis. {ECO:0000269|PubMed:11071939, ECO:0000269|PubMed:11328871}.; </t>
  </si>
  <si>
    <t xml:space="preserve">ovary;salivary gland;intestine;colon;parathyroid;choroid;skin;bone marrow;uterus;prostate;whole body;frontal lobe;endometrium;larynx;bone;thyroid;testis;germinal center;brain;pineal gland;bladder;unclassifiable (Anatomical System);lymph node;cartilage;heart;islets of Langerhans;muscle;urinary;adrenal cortex;pharynx;blood;skeletal muscle;breast;pancreas;lung;adrenal gland;placenta;visual apparatus;hypopharynx;liver;cervix;spleen;head and neck;kidney;mammary gland;stomach;cerebellum;</t>
  </si>
  <si>
    <t xml:space="preserve">superior cervical ganglion;testis;</t>
  </si>
  <si>
    <t xml:space="preserve">MOGAT1</t>
  </si>
  <si>
    <t xml:space="preserve">MROH5</t>
  </si>
  <si>
    <t xml:space="preserve">MTCH2</t>
  </si>
  <si>
    <t xml:space="preserve">medulla oblongata;ovary;sympathetic chain;skin;bone marrow;retina;prostate;optic nerve;frontal lobe;endometrium;thyroid;bladder;brain;tonsil;heart;cartilage;urinary;adrenal cortex;pharynx;blood;lens;breast;macula lutea;visual apparatus;liver;spleen;cervix;mammary gland;salivary gland;intestine;colon;parathyroid;fovea centralis;choroid;uterus;whole body;cerebral cortex;bone;testis;unclassifiable (Anatomical System);cerebellum cortex;islets of Langerhans;hypothalamus;pancreas;lung;mesenchyma;nasopharynx;placenta;hippocampus;hypopharynx;head and neck;kidney;stomach;</t>
  </si>
  <si>
    <t xml:space="preserve">testis - interstitial;testis - seminiferous tubule;liver;testis;kidney;</t>
  </si>
  <si>
    <t xml:space="preserve">MTCL1</t>
  </si>
  <si>
    <t xml:space="preserve">MUC2</t>
  </si>
  <si>
    <t xml:space="preserve">TISSUE SPECIFICITY: Colon, small intestine, colonic tumors, bronchus, cervix and gall bladder.; </t>
  </si>
  <si>
    <t xml:space="preserve">unclassifiable (Anatomical System);colon;blood;skeletal muscle;stomach;bone marrow;</t>
  </si>
  <si>
    <t xml:space="preserve">MUC21</t>
  </si>
  <si>
    <t xml:space="preserve">TISSUE SPECIFICITY: Expressed in lung, large intestine, thymus, and testis. Expressed in normal and malignant bronchial epithelial cells. {ECO:0000269|PubMed:17977904}.; </t>
  </si>
  <si>
    <t xml:space="preserve">MYDGF</t>
  </si>
  <si>
    <t xml:space="preserve">TISSUE SPECIFICITY: Expressed in bone marrow cells (PubMed:25581518). Expressed in synovial tissue. Found in synovial fluid of patients with arthropaties (PubMed:17362502). {ECO:0000269|PubMed:17362502, ECO:0000269|PubMed:25581518}.; </t>
  </si>
  <si>
    <t xml:space="preserve">MYO9B</t>
  </si>
  <si>
    <t xml:space="preserve">TISSUE SPECIFICITY: Expressed predominantly in peripheral blood leukocytes and at lower levels, in thymus, spleen, testis, prostate, ovary, brain, small intestine and lung.; </t>
  </si>
  <si>
    <t xml:space="preserve">myocardium;ovary;colon;parathyroid;fovea centralis;choroid;skin;retina;bone marrow;uterus;prostate;optic nerve;whole body;endometrium;bone;thyroid;testis;germinal center;brain;bladder;unclassifiable (Anatomical System);lymph node;cartilage;heart;lacrimal gland;islets of Langerhans;muscle;blood;lens;skeletal muscle;breast;pancreas;lung;placenta;macula lutea;visual apparatus;hypopharynx;alveolus;liver;spleen;head and neck;kidney;mammary gland;stomach;peripheral nerve;thymus;</t>
  </si>
  <si>
    <t xml:space="preserve">dorsal root ganglion;medulla oblongata;superior cervical ganglion;testis - seminiferous tubule;globus pallidus;ciliary ganglion;pons;atrioventricular node;trigeminal ganglion;whole blood;skeletal muscle;parietal lobe;</t>
  </si>
  <si>
    <t xml:space="preserve">MYOF</t>
  </si>
  <si>
    <t xml:space="preserve">TISSUE SPECIFICITY: Expressed in myoblast and endothelial cells (at protein level). Highly expressed in cardiac and skeletal muscles. Also present in lung, and at very low levels in kidney, placenta and brain. {ECO:0000269|PubMed:11959863, ECO:0000269|PubMed:17702744, ECO:0000269|PubMed:18502764}.; </t>
  </si>
  <si>
    <t xml:space="preserve">smooth muscle;ovary;salivary gland;intestine;colon;skin;bone marrow;uterus;prostate;endometrium;larynx;bone;thyroid;iris;testis;spinal ganglion;brain;bladder;unclassifiable (Anatomical System);lymph node;cartilage;heart;tongue;islets of Langerhans;urinary;pharynx;blood;skeletal muscle;breast;pancreas;lung;cornea;placenta;visual apparatus;amnion;alveolus;hypopharynx;liver;cervix;head and neck;kidney;mammary gland;aorta;stomach;</t>
  </si>
  <si>
    <t xml:space="preserve">superior cervical ganglion;</t>
  </si>
  <si>
    <t xml:space="preserve">NASP</t>
  </si>
  <si>
    <t xml:space="preserve">TISSUE SPECIFICITY: Isoform 1 is testis- and sperm-specific.; </t>
  </si>
  <si>
    <t xml:space="preserve">lymphoreticular;medulla oblongata;smooth muscle;ovary;sympathetic chain;skin;retina;bone marrow;prostate;optic nerve;cochlea;endometrium;thyroid;germinal center;bladder;brain;tonsil;cartilage;tongue;pharynx;blood;lens;skeletal muscle;breast;macula lutea;visual apparatus;liver;spleen;mammary gland;peripheral nerve;salivary gland;developmental;intestine;colon;parathyroid;fovea centralis;choroid;uterus;cerebral cortex;larynx;bone;testis;spinal ganglion;unclassifiable (Anatomical System);lymph node;trophoblast;islets of Langerhans;muscle;bile duct;pancreas;lung;cornea;placenta;duodenum;head and neck;kidney;stomach;thymus;</t>
  </si>
  <si>
    <t xml:space="preserve">superior cervical ganglion;testis - interstitial;testis - seminiferous tubule;fetal brain;hypothalamus;spinal cord;prefrontal cortex;tumor;testis;ciliary ganglion;atrioventricular node;trigeminal ganglion;</t>
  </si>
  <si>
    <t xml:space="preserve">NBPF19</t>
  </si>
  <si>
    <t xml:space="preserve">neuroblastoma breakpoint family member 19</t>
  </si>
  <si>
    <t xml:space="preserve">NCAPD3</t>
  </si>
  <si>
    <t xml:space="preserve">NCOR1</t>
  </si>
  <si>
    <t xml:space="preserve">ovary;salivary gland;colon;fovea centralis;choroid;retina;bone marrow;uterus;prostate;optic nerve;whole body;frontal lobe;endometrium;larynx;bone;thyroid;pituitary gland;testis;amniotic fluid;germinal center;brain;pineal gland;bladder;unclassifiable (Anatomical System);lymph node;heart;lacrimal gland;muscle;adrenal cortex;blood;lens;skeletal muscle;breast;bile duct;lung;adrenal gland;placenta;macula lutea;visual apparatus;liver;spleen;head and neck;cervix;kidney;aorta;stomach;thymus;</t>
  </si>
  <si>
    <t xml:space="preserve">dorsal root ganglion;testis - interstitial;superior cervical ganglion;atrioventricular node;pons;caudate nucleus;skin;skeletal muscle;subthalamic nucleus;testis - seminiferous tubule;prefrontal cortex;globus pallidus;ciliary ganglion;trigeminal ganglion;parietal lobe;</t>
  </si>
  <si>
    <t xml:space="preserve">NRAP</t>
  </si>
  <si>
    <t xml:space="preserve">TISSUE SPECIFICITY: Expressed in cardiac and skeletal muscle. {ECO:0000269|PubMed:12789664}.; </t>
  </si>
  <si>
    <t xml:space="preserve">unclassifiable (Anatomical System);myocardium;heart;tongue;spinal cord;muscle;skin;skeletal muscle;uterus;prostate;atrium;lung;endometrium;larynx;thyroid;liver;testis;head and neck;spleen;kidney;peripheral nerve;</t>
  </si>
  <si>
    <t xml:space="preserve">medulla oblongata;superior cervical ganglion;heart;tongue;thyroid;ciliary ganglion;pons;atrioventricular node;trigeminal ganglion;parietal lobe;skeletal muscle;</t>
  </si>
  <si>
    <t xml:space="preserve">NRK</t>
  </si>
  <si>
    <t xml:space="preserve">unclassifiable (Anatomical System);cartilage;heart;ovary;colon;parathyroid;skin;uterus;pancreas;prostate;whole body;lung;adrenal gland;bone;placenta;visual apparatus;liver;testis;spleen;kidney;</t>
  </si>
  <si>
    <t xml:space="preserve">NUP153</t>
  </si>
  <si>
    <t xml:space="preserve">ovary;salivary gland;intestine;colon;parathyroid;skin;retina;bone marrow;uterus;prostate;whole body;endometrium;larynx;bone;thyroid;testis;germinal center;brain;bladder;unclassifiable (Anatomical System);lymph node;cartilage;heart;islets of Langerhans;pharynx;blood;skeletal muscle;breast;pancreas;lung;adrenal gland;epididymis;placenta;visual apparatus;alveolus;liver;spleen;head and neck;kidney;mammary gland;aorta;stomach;thymus;</t>
  </si>
  <si>
    <t xml:space="preserve">testis - interstitial;superior cervical ganglion;fetal liver;ciliary ganglion;atrioventricular node;trigeminal ganglion;</t>
  </si>
  <si>
    <t xml:space="preserve">OLFM1</t>
  </si>
  <si>
    <t xml:space="preserve">sympathetic chain;colon;substantia nigra;fovea centralis;choroid;skin;retina;uterus;prostate;optic nerve;whole body;frontal lobe;cochlea;endometrium;bone;testis;pineal gland;brain;unclassifiable (Anatomical System);heart;islets of Langerhans;hypothalamus;adrenal cortex;lens;breast;pancreas;lung;macula lutea;visual apparatus;hippocampus;head and neck;cervix;kidney;stomach;aorta;</t>
  </si>
  <si>
    <t xml:space="preserve">whole brain;amygdala;dorsal root ganglion;occipital lobe;superior cervical ganglion;thalamus;medulla oblongata;cerebellum peduncles;hypothalamus;temporal lobe;atrioventricular node;pons;caudate nucleus;subthalamic nucleus;fetal brain;prefrontal cortex;globus pallidus;trigeminal ganglion;cingulate cortex;parietal lobe;cerebellum;</t>
  </si>
  <si>
    <t xml:space="preserve">OR8G1</t>
  </si>
  <si>
    <t xml:space="preserve">0.285950158784041</t>
  </si>
  <si>
    <t xml:space="preserve">olfactory receptor family 8 subfamily G member 1 (gene/pseudogene)</t>
  </si>
  <si>
    <t xml:space="preserve">FUNCTION: Odorant receptor. {ECO:0000305}.; </t>
  </si>
  <si>
    <t xml:space="preserve">OR8G5</t>
  </si>
  <si>
    <t xml:space="preserve">0.652742658849299</t>
  </si>
  <si>
    <t xml:space="preserve">olfactory receptor family 8 subfamily G member 5</t>
  </si>
  <si>
    <t xml:space="preserve">PAPPA</t>
  </si>
  <si>
    <t xml:space="preserve">TISSUE SPECIFICITY: High levels in placenta and pregnancy serum. In placenta, expressed in X cells in septa and anchoring villi, and in syncytiotrophoblasts in the chorionic villi. Lower levels are found in a variety of other tissues including kidney, myometrium, endometrium, ovaries, breast, prostate, bone marrow, colon, fibroblasts and osteoblasts. {ECO:0000269|PubMed:10077652, ECO:0000269|PubMed:10491647, ECO:0000269|PubMed:7508748, ECO:0000269|PubMed:7526035}.; </t>
  </si>
  <si>
    <t xml:space="preserve">unclassifiable (Anatomical System);breast;uterus;frontal lobe;ovary;placenta;muscle;liver;colon;parathyroid;stomach;</t>
  </si>
  <si>
    <t xml:space="preserve">superior cervical ganglion;smooth muscle;heart;placenta;trigeminal ganglion;cingulate cortex;</t>
  </si>
  <si>
    <t xml:space="preserve">PAPSS2</t>
  </si>
  <si>
    <t xml:space="preserve">TISSUE SPECIFICITY: Expressed in cartilage and adrenal gland. {ECO:0000269|PubMed:19474428}.; </t>
  </si>
  <si>
    <t xml:space="preserve">ovary;colon;parathyroid;choroid;skin;retina;uterus;whole body;oesophagus;endometrium;bone;thyroid;testis;brain;unclassifiable (Anatomical System);heart;islets of Langerhans;hypothalamus;skeletal muscle;bile duct;breast;pancreas;lung;adrenal gland;mesenchyma;nasopharynx;placenta;visual apparatus;liver;alveolus;spleen;kidney;mammary gland;aorta;</t>
  </si>
  <si>
    <t xml:space="preserve">dorsal root ganglion;superior cervical ganglion;smooth muscle;adrenal gland;adrenal cortex;ciliary ganglion;atrioventricular node;trigeminal ganglion;</t>
  </si>
  <si>
    <t xml:space="preserve">PAX8-AS1</t>
  </si>
  <si>
    <t xml:space="preserve">PAX8 antisense RNA 1</t>
  </si>
  <si>
    <t xml:space="preserve">PCGF5</t>
  </si>
  <si>
    <t xml:space="preserve">unclassifiable (Anatomical System);ovary;heart;colon;parathyroid;blood;skin;skeletal muscle;bone marrow;breast;uterus;pancreas;lung;frontal lobe;trabecular meshwork;bone;placenta;duodenum;liver;testis;germinal center;mammary gland;aorta;stomach;</t>
  </si>
  <si>
    <t xml:space="preserve">dorsal root ganglion;testis - interstitial;superior cervical ganglion;fetal liver;ciliary ganglion;atrioventricular node;</t>
  </si>
  <si>
    <t xml:space="preserve">PDE1B</t>
  </si>
  <si>
    <t xml:space="preserve">unclassifiable (Anatomical System);uterus;lung;islets of Langerhans;colon;brain;skin;skeletal muscle;retina;cerebellum;</t>
  </si>
  <si>
    <t xml:space="preserve">subthalamic nucleus;superior cervical ganglion;prefrontal cortex;globus pallidus;ciliary ganglion;pons;caudate nucleus;trigeminal ganglion;skeletal muscle;cingulate cortex;</t>
  </si>
  <si>
    <t xml:space="preserve">PDIA6</t>
  </si>
  <si>
    <t xml:space="preserve">TISSUE SPECIFICITY: Expressed in platelets (at protein level). {ECO:0000269|PubMed:15466936}.; </t>
  </si>
  <si>
    <t xml:space="preserve">myocardium;ovary;salivary gland;intestine;colon;parathyroid;choroid;skin;bone marrow;uterus;prostate;optic nerve;whole body;frontal lobe;cochlea;endometrium;bone;thyroid;testis;germinal center;brain;bladder;unclassifiable (Anatomical System);lymph node;cartilage;heart;islets of Langerhans;adrenal cortex;pharynx;blood;bile duct;pancreas;lung;placenta;visual apparatus;alveolus;liver;cervix;spleen;head and neck;kidney;mammary gland;aorta;stomach;peripheral nerve;cerebellum;</t>
  </si>
  <si>
    <t xml:space="preserve">adrenal gland;thyroid;placenta;</t>
  </si>
  <si>
    <t xml:space="preserve">PGLYRP2</t>
  </si>
  <si>
    <t xml:space="preserve">TISSUE SPECIFICITY: Strongly expressed in liver and fetal liver, and secreted into serum. Expressed to a much lesser extent in transverse colon, lymph nodes, heart, thymus, pancreas, descending colon, stomach and testis. Isoform 2 is not detected in the liver or serum. {ECO:0000269|PubMed:11461926, ECO:0000269|PubMed:16054449}.; </t>
  </si>
  <si>
    <t xml:space="preserve">unclassifiable (Anatomical System);medulla oblongata;liver;</t>
  </si>
  <si>
    <t xml:space="preserve">fetal liver;liver;atrioventricular node;</t>
  </si>
  <si>
    <t xml:space="preserve">PHYHD1</t>
  </si>
  <si>
    <t xml:space="preserve">medulla oblongata;ovary;colon;parathyroid;skin;retina;uterus;prostate;optic nerve;frontal lobe;endometrium;bone;testis;brain;unclassifiable (Anatomical System);lymph node;heart;blood;lens;pancreas;lung;nasopharynx;placenta;liver;spleen;kidney;mammary gland;stomach;</t>
  </si>
  <si>
    <t xml:space="preserve">atrioventricular node;kidney;</t>
  </si>
  <si>
    <t xml:space="preserve">PKHD1</t>
  </si>
  <si>
    <t xml:space="preserve">TISSUE SPECIFICITY: Predominantly expressed in fetal and adult kidney. In the kidney, it is found in the cortical and medullary collecting ducts. Also present in the adult pancreas, but at much lower levels. Detectable in fetal and adult liver. Rather indistinct signal in fetal brain. {ECO:0000269|PubMed:14978161, ECO:0000269|PubMed:15458427}.; </t>
  </si>
  <si>
    <t xml:space="preserve">unclassifiable (Anatomical System);liver;kidney;</t>
  </si>
  <si>
    <t xml:space="preserve">PLBD1-AS1</t>
  </si>
  <si>
    <t xml:space="preserve">PLBD1 antisense RNA 1</t>
  </si>
  <si>
    <t xml:space="preserve">PLEKHA7</t>
  </si>
  <si>
    <t xml:space="preserve">colon;choroid;fovea centralis;skin;retina;prostate;optic nerve;frontal lobe;endometrium;thyroid;bone;testis;amniotic fluid;brain;unclassifiable (Anatomical System);heart;lacrimal gland;lens;breast;lung;placenta;visual apparatus;macula lutea;liver;spleen;kidney;mammary gland;stomach;</t>
  </si>
  <si>
    <t xml:space="preserve">PLEKHH2</t>
  </si>
  <si>
    <t xml:space="preserve">TISSUE SPECIFICITY: Kidney. Reduced expression in patients with focal segmental glomerulosclerosis. {ECO:0000269|PubMed:22832517}.; </t>
  </si>
  <si>
    <t xml:space="preserve">smooth muscle;ovary;colon;parathyroid;fovea centralis;choroid;skin;retina;uterus;prostate;optic nerve;whole body;endometrium;thyroid;bone;testis;brain;artery;unclassifiable (Anatomical System);heart;cartilage;islets of Langerhans;hypothalamus;lens;skeletal muscle;pancreas;lung;adrenal gland;placenta;macula lutea;hippocampus;kidney;mammary gland;stomach;aorta;</t>
  </si>
  <si>
    <t xml:space="preserve">globus pallidus;atrioventricular node;</t>
  </si>
  <si>
    <t xml:space="preserve">PNLIPRP1</t>
  </si>
  <si>
    <t xml:space="preserve">TISSUE SPECIFICITY: Pancreas. {ECO:0000269|PubMed:1379598}.; </t>
  </si>
  <si>
    <t xml:space="preserve">unclassifiable (Anatomical System);pancreas;islets of Langerhans;liver;spleen;</t>
  </si>
  <si>
    <t xml:space="preserve">dorsal root ganglion;superior cervical ganglion;pancreas;beta cell islets;</t>
  </si>
  <si>
    <t xml:space="preserve">PRICKLE3</t>
  </si>
  <si>
    <t xml:space="preserve">TISSUE SPECIFICITY: Widely expressed.; </t>
  </si>
  <si>
    <t xml:space="preserve">PRKAB2</t>
  </si>
  <si>
    <t xml:space="preserve">protein kinase AMP-activated non-catalytic subunit beta 2</t>
  </si>
  <si>
    <t xml:space="preserve">ovary;salivary gland;sympathetic chain;colon;parathyroid;fovea centralis;choroid;skin;retina;uterus;prostate;optic nerve;whole body;frontal lobe;cochlea;endometrium;bone;thyroid;testis;dura mater;brain;bladder;unclassifiable (Anatomical System);meninges;cartilage;heart;islets of Langerhans;adrenal cortex;pharynx;blood;lens;skeletal muscle;breast;pancreas;pia mater;lung;placenta;macula lutea;visual apparatus;hypopharynx;alveolus;liver;spleen;head and neck;cervix;kidney;stomach;</t>
  </si>
  <si>
    <t xml:space="preserve">PRKCA</t>
  </si>
  <si>
    <t xml:space="preserve">ovary;salivary gland;sympathetic chain;colon;substantia nigra;parathyroid;fovea centralis;choroid;skin;retina;uterus;prostate;optic nerve;frontal lobe;bone;thyroid;testis;germinal center;brain;bladder;unclassifiable (Anatomical System);amygdala;cartilage;small intestine;heart;spinal cord;pharynx;blood;lens;skeletal muscle;breast;pancreas;lung;placenta;macula lutea;visual apparatus;liver;duodenum;spleen;cervix;kidney;mammary gland;stomach;</t>
  </si>
  <si>
    <t xml:space="preserve">whole brain;amygdala;dorsal root ganglion;medulla oblongata;superior cervical ganglion;occipital lobe;olfactory bulb;spinal cord;caudate nucleus;atrioventricular node;skeletal muscle;subthalamic nucleus;prefrontal cortex;globus pallidus;ciliary ganglion;trigeminal ganglion;parietal lobe;cerebellum;</t>
  </si>
  <si>
    <t xml:space="preserve">RAD54L</t>
  </si>
  <si>
    <t xml:space="preserve">RBM6</t>
  </si>
  <si>
    <t xml:space="preserve">TISSUE SPECIFICITY: Ubiquitous in adults.; </t>
  </si>
  <si>
    <t xml:space="preserve">myocardium;smooth muscle;ovary;skin;bone marrow;prostate;optic nerve;frontal lobe;cochlea;endometrium;thyroid;germinal center;brain;gall bladder;amygdala;heart;cartilage;tongue;adrenal cortex;blood;skeletal muscle;breast;epididymis;macula lutea;liver;cervix;spleen;mammary gland;colon;parathyroid;fovea centralis;vein;uterus;larynx;bone;pituitary gland;testis;pineal gland;unclassifiable (Anatomical System);lymph node;islets of Langerhans;hypothalamus;pancreas;lung;adrenal gland;placenta;amnion;head and neck;kidney;stomach;thymus;cerebellum;</t>
  </si>
  <si>
    <t xml:space="preserve">superior cervical ganglion;olfactory bulb;testis - seminiferous tubule;fetal brain;adrenal cortex;testis;parietal lobe;</t>
  </si>
  <si>
    <t xml:space="preserve">RD3</t>
  </si>
  <si>
    <t xml:space="preserve">TISSUE SPECIFICITY: Preferentially expressed in retina. {ECO:0000269|PubMed:12914764}.; </t>
  </si>
  <si>
    <t xml:space="preserve">RFX3</t>
  </si>
  <si>
    <t xml:space="preserve">uterus;unclassifiable (Anatomical System);medulla oblongata;lung;frontal lobe;endometrium;placenta;muscle;testis;blood;</t>
  </si>
  <si>
    <t xml:space="preserve">dorsal root ganglion;uterus corpus;superior cervical ganglion;appendix;ciliary ganglion;atrioventricular node;trigeminal ganglion;skeletal muscle;</t>
  </si>
  <si>
    <t xml:space="preserve">RNMT</t>
  </si>
  <si>
    <t xml:space="preserve">TISSUE SPECIFICITY: Widely expressed. {ECO:0000269|PubMed:9705270, ECO:0000269|PubMed:9790902}.; </t>
  </si>
  <si>
    <t xml:space="preserve">ovary;salivary gland;sympathetic chain;colon;parathyroid;skin;retina;bone marrow;uterus;prostate;whole body;frontal lobe;endometrium;synovium;bone;thyroid;testis;germinal center;brain;pineal gland;bladder;unclassifiable (Anatomical System);cartilage;heart;tongue;islets of Langerhans;hypothalamus;pharynx;blood;skeletal muscle;breast;bile duct;pancreas;lung;placenta;visual apparatus;liver;spleen;head and neck;cervix;kidney;mammary gland;stomach;thymus;</t>
  </si>
  <si>
    <t xml:space="preserve">dorsal root ganglion;medulla oblongata;superior cervical ganglion;thalamus;caudate nucleus;atrioventricular node;pons;subthalamic nucleus;prefrontal cortex;globus pallidus;testis;trigeminal ganglion;cingulate cortex;</t>
  </si>
  <si>
    <t xml:space="preserve">RSU1</t>
  </si>
  <si>
    <t xml:space="preserve">ovary;sympathetic chain;colon;parathyroid;choroid;skin;bone marrow;uterus;prostate;whole body;frontal lobe;cochlea;cerebral cortex;endometrium;bone;thyroid;testis;amniotic fluid;germinal center;brain;pineal gland;artery;unclassifiable (Anatomical System);cartilage;heart;islets of Langerhans;adrenal cortex;blood;skeletal muscle;breast;pancreas;lung;adrenal gland;nasopharynx;placenta;visual apparatus;liver;spleen;head and neck;kidney;mammary gland;stomach;aorta;</t>
  </si>
  <si>
    <t xml:space="preserve">superior cervical ganglion;adipose tissue;temporal lobe;pons;atrioventricular node;skeletal muscle;skin;subthalamic nucleus;testis - seminiferous tubule;placenta;globus pallidus;ciliary ganglion;trigeminal ganglion;</t>
  </si>
  <si>
    <t xml:space="preserve">SAT2</t>
  </si>
  <si>
    <t xml:space="preserve">0.0176163047684809</t>
  </si>
  <si>
    <t xml:space="preserve">spermidine/spermine N1-acetyltransferase family member 2</t>
  </si>
  <si>
    <t xml:space="preserve">FUNCTION: Enzyme which catalyzes the acetylation of polyamines. Substrate specificity: norspermidine &gt; spermidine = spermine &gt;&gt; N(1)acetylspermine = putrescine.; </t>
  </si>
  <si>
    <t xml:space="preserve">myocardium;ovary;colon;fovea centralis;uterus;prostate;whole body;frontal lobe;larynx;thyroid;bone;testis;brain;pineal gland;unclassifiable (Anatomical System);cartilage;islets of Langerhans;hypothalamus;pineal body;blood;skeletal muscle;bile duct;lung;nasopharynx;placenta;macula lutea;visual apparatus;liver;alveolus;spleen;head and neck;kidney;mammary gland;stomach;</t>
  </si>
  <si>
    <t xml:space="preserve">SCFD2</t>
  </si>
  <si>
    <t xml:space="preserve">SEC24C</t>
  </si>
  <si>
    <t xml:space="preserve">TISSUE SPECIFICITY: Ubiquitous. {ECO:0000269|PubMed:10329445}.; </t>
  </si>
  <si>
    <t xml:space="preserve">ovary;skin;bone marrow;retina;prostate;frontal lobe;endometrium;thyroid;iris;germinal center;bladder;brain;heart;cartilage;urinary;pharynx;blood;skeletal muscle;breast;epididymis;visual apparatus;liver;spleen;cervix;mammary gland;salivary gland;intestine;colon;parathyroid;uterus;whole body;larynx;bone;testis;unclassifiable (Anatomical System);lymph node;islets of Langerhans;muscle;bile duct;pancreas;lung;nasopharynx;placenta;hypopharynx;head and neck;kidney;stomach;aorta;cerebellum;</t>
  </si>
  <si>
    <t xml:space="preserve">testis - seminiferous tubule;</t>
  </si>
  <si>
    <t xml:space="preserve">SERINC3</t>
  </si>
  <si>
    <t xml:space="preserve">TISSUE SPECIFICITY: Ubiquitous. Expression levels were increased fourfold to tenfold in lung tumor tissues compared with normal pulmonary tissues. {ECO:0000269|PubMed:10559794}.; </t>
  </si>
  <si>
    <t xml:space="preserve">medulla oblongata;ovary;skin;retina;bone marrow;prostate;optic nerve;frontal lobe;cochlea;endometrium;gum;thyroid;iris;germinal center;brain;gall bladder;amygdala;heart;cartilage;urinary;adrenal cortex;blood;lens;skeletal muscle;breast;trabecular meshwork;macula lutea;visual apparatus;liver;cervix;spleen;mammary gland;peripheral nerve;colon;parathyroid;fovea centralis;choroid;uterus;whole body;synovium;bone;testis;dura mater;spinal ganglion;pineal gland;unclassifiable (Anatomical System);meninges;lymph node;islets of Langerhans;hypothalamus;muscle;pancreas;lung;pia mater;mesenchyma;adrenal gland;nasopharynx;placenta;hippocampus;duodenum;head and neck;kidney;aorta;stomach;</t>
  </si>
  <si>
    <t xml:space="preserve">whole brain;amygdala;occipital lobe;superior cervical ganglion;testis - interstitial;temporal lobe;pons;subthalamic nucleus;placenta;prefrontal cortex;testis;globus pallidus;cingulate cortex;parietal lobe;</t>
  </si>
  <si>
    <t xml:space="preserve">SEZ6</t>
  </si>
  <si>
    <t xml:space="preserve">unclassifiable (Anatomical System);ovary;islets of Langerhans;parathyroid;fovea centralis;choroid;lens;skeletal muscle;retina;prostate;optic nerve;lung;frontal lobe;placenta;thyroid;macula lutea;visual apparatus;head and neck;brain;cerebellum;</t>
  </si>
  <si>
    <t xml:space="preserve">dorsal root ganglion;superior cervical ganglion;fetal liver;ciliary ganglion;atrioventricular node;trigeminal ganglion;skeletal muscle;cerebellum;</t>
  </si>
  <si>
    <t xml:space="preserve">SFRP5</t>
  </si>
  <si>
    <t xml:space="preserve">TISSUE SPECIFICITY: Highly expressed in the retinal pigment epithelium (RPE) and pancreas. Weak expression in heart, liver and muscle. {ECO:0000269|PubMed:10072424, ECO:0000269|PubMed:9391078, ECO:0000269|PubMed:9642118}.; </t>
  </si>
  <si>
    <t xml:space="preserve">optic nerve;islets of Langerhans;sympathetic chain;macula lutea;iris;fovea centralis;choroid;lens;retina;</t>
  </si>
  <si>
    <t xml:space="preserve">dorsal root ganglion;testis - interstitial;superior cervical ganglion;olfactory bulb;spinal cord;ciliary ganglion;atrioventricular node;trigeminal ganglion;</t>
  </si>
  <si>
    <t xml:space="preserve">SHBG</t>
  </si>
  <si>
    <t xml:space="preserve">0.000188842387449784</t>
  </si>
  <si>
    <t xml:space="preserve">sex hormone-binding globulin</t>
  </si>
  <si>
    <t xml:space="preserve">FUNCTION: Functions as an androgen transport protein, but may also be involved in receptor mediated processes. Each dimer binds one molecule of steroid. Specific for 5-alpha-dihydrotestosterone, testosterone, and 17-beta-estradiol. Regulates the plasma metabolic clearance rate of steroid hormones by controlling their plasma concentration.; </t>
  </si>
  <si>
    <t xml:space="preserve">TISSUE SPECIFICITY: Isoform 1 and isoform 2 are present in liver and testis.; </t>
  </si>
  <si>
    <t xml:space="preserve">optic nerve;lung;macula lutea;testis;fovea centralis;choroid;lens;retina;</t>
  </si>
  <si>
    <t xml:space="preserve">dorsal root ganglion;superior cervical ganglion;subthalamic nucleus;testis - seminiferous tubule;temporal lobe;globus pallidus;ciliary ganglion;pons;atrioventricular node;trigeminal ganglion;skeletal muscle;</t>
  </si>
  <si>
    <t xml:space="preserve">SHCBP1</t>
  </si>
  <si>
    <t xml:space="preserve">unclassifiable (Anatomical System);cartilage;ovary;blood;skeletal muscle;greater omentum;uterus;whole body;lung;bone;liver;testis;cervix;germinal center;kidney;brain;</t>
  </si>
  <si>
    <t xml:space="preserve">SLC9B1</t>
  </si>
  <si>
    <t xml:space="preserve">TISSUE SPECIFICITY: Expressed only in the testis. {ECO:0000269|PubMed:16850186}.; </t>
  </si>
  <si>
    <t xml:space="preserve">unclassifiable (Anatomical System);medulla oblongata;pancreas;lung;whole body;ovary;heart;islets of Langerhans;placenta;visual apparatus;hippocampus;testis;parathyroid;</t>
  </si>
  <si>
    <t xml:space="preserve">dorsal root ganglion;superior cervical ganglion;testis - interstitial;temporal lobe;atrioventricular node;skeletal muscle;skin;testis - seminiferous tubule;globus pallidus;appendix;testis;ciliary ganglion;trigeminal ganglion;</t>
  </si>
  <si>
    <t xml:space="preserve">SNHG22</t>
  </si>
  <si>
    <t xml:space="preserve">small nucleolar RNA host gene 22</t>
  </si>
  <si>
    <t xml:space="preserve">SPATA31C1</t>
  </si>
  <si>
    <t xml:space="preserve">SPIDR</t>
  </si>
  <si>
    <t xml:space="preserve">SPINK2</t>
  </si>
  <si>
    <t xml:space="preserve">TISSUE SPECIFICITY: Expressed in epididymis (at protein level). {ECO:0000269|PubMed:20736409}.; </t>
  </si>
  <si>
    <t xml:space="preserve">unclassifiable (Anatomical System);uterus;medulla oblongata;prostate;lung;heart;islets of Langerhans;epididymis;hippocampus;testis;brain;skin;</t>
  </si>
  <si>
    <t xml:space="preserve">superior cervical ganglion;testis - interstitial;testis - seminiferous tubule;testis;</t>
  </si>
  <si>
    <t xml:space="preserve">SRGAP1</t>
  </si>
  <si>
    <t xml:space="preserve">TISSUE SPECIFICITY: Expressed in brain, lung, kidney, and testis. {ECO:0000269|PubMed:11672528}.; </t>
  </si>
  <si>
    <t xml:space="preserve">ovary;salivary gland;intestine;colon;skin;bone marrow;uterus;thyroid;bone;testis;germinal center;brain;bladder;unclassifiable (Anatomical System);islets of Langerhans;pharynx;blood;skeletal muscle;pancreas;lung;cornea;epididymis;placenta;visual apparatus;liver;spleen;kidney;mammary gland;</t>
  </si>
  <si>
    <t xml:space="preserve">dorsal root ganglion;subthalamic nucleus;superior cervical ganglion;fetal brain;ciliary ganglion;atrioventricular node;trigeminal ganglion;skeletal muscle;</t>
  </si>
  <si>
    <t xml:space="preserve">STRIP1</t>
  </si>
  <si>
    <t xml:space="preserve">STXBP3</t>
  </si>
  <si>
    <t xml:space="preserve">TISSUE SPECIFICITY: Megakaryocytes and platelets.; </t>
  </si>
  <si>
    <t xml:space="preserve">SULT1A1</t>
  </si>
  <si>
    <t xml:space="preserve">TISSUE SPECIFICITY: Liver, lung, adrenal, brain, platelets and skin.; </t>
  </si>
  <si>
    <t xml:space="preserve">smooth muscle;ovary;sympathetic chain;colon;parathyroid;vein;skin;retina;bone marrow;uterus;prostate;optic nerve;whole body;frontal lobe;oesophagus;endometrium;larynx;thyroid;bone;iris;testis;germinal center;spinal ganglion;bladder;brain;tonsil;unclassifiable (Anatomical System);lymph node;heart;cartilage;tongue;islets of Langerhans;pineal body;blood;pancreas;lung;trabecular meshwork;placenta;visual apparatus;hypopharynx;liver;cervix;head and neck;spleen;kidney;mammary gland;stomach;cerebellum;</t>
  </si>
  <si>
    <t xml:space="preserve">SUPV3L1</t>
  </si>
  <si>
    <t xml:space="preserve">TISSUE SPECIFICITY: Broadly expressed. {ECO:0000269|PubMed:10453991}.; </t>
  </si>
  <si>
    <t xml:space="preserve">ovary;sympathetic chain;colon;fovea centralis;choroid;skin;retina;bone marrow;uterus;prostate;optic nerve;whole body;frontal lobe;endometrium;thyroid;testis;germinal center;brain;unclassifiable (Anatomical System);cerebellum cortex;urinary;blood;lens;skeletal muscle;breast;pancreas;lung;trabecular meshwork;placenta;macula lutea;visual apparatus;liver;cervix;kidney;mammary gland;stomach;</t>
  </si>
  <si>
    <t xml:space="preserve">testis - interstitial;prefrontal cortex;testis;parietal lobe;</t>
  </si>
  <si>
    <t xml:space="preserve">SVEP1</t>
  </si>
  <si>
    <t xml:space="preserve">TISSUE SPECIFICITY: Present in mesenchymal primary cultured cell lysates (at protein level). Highly expressed in placenta. Also expressed in marrow stromal cell. Weakly or not expressed in other tissues. {ECO:0000269|PubMed:11062057, ECO:0000269|PubMed:16206243}.; </t>
  </si>
  <si>
    <t xml:space="preserve">ovary;colon;parathyroid;choroid;skin;uterus;whole body;frontal lobe;cerebral cortex;larynx;bone;testis;brain;unclassifiable (Anatomical System);heart;cartilage;islets of Langerhans;skeletal muscle;breast;pancreas;lung;epididymis;nasopharynx;trabecular meshwork;placenta;visual apparatus;liver;hypopharynx;spleen;head and neck;kidney;mammary gland;</t>
  </si>
  <si>
    <t xml:space="preserve">superior cervical ganglion;adipose tissue;placenta;globus pallidus;ciliary ganglion;pons;atrioventricular node;trigeminal ganglion;skeletal muscle;</t>
  </si>
  <si>
    <t xml:space="preserve">SYCP1</t>
  </si>
  <si>
    <t xml:space="preserve">TISSUE SPECIFICITY: Testis.; </t>
  </si>
  <si>
    <t xml:space="preserve">SYCP2L</t>
  </si>
  <si>
    <t xml:space="preserve">TISSUE SPECIFICITY: Expressed in the ovary (at protein level). {ECO:0000269|PubMed:17374641}.; </t>
  </si>
  <si>
    <t xml:space="preserve">lung;ovary;lacrimal gland;placenta;liver;testis;parathyroid;spleen;stomach;</t>
  </si>
  <si>
    <t xml:space="preserve">TAF1B</t>
  </si>
  <si>
    <t xml:space="preserve">ovary;salivary gland;intestine;colon;skin;uterus;prostate;bone;thyroid;testis;brain;bladder;unclassifiable (Anatomical System);lymph node;heart;islets of Langerhans;hypothalamus;pharynx;blood;skeletal muscle;breast;lung;adrenal gland;nasopharynx;placenta;visual apparatus;liver;spleen;head and neck;kidney;stomach;</t>
  </si>
  <si>
    <t xml:space="preserve">superior cervical ganglion;trigeminal ganglion;skin;</t>
  </si>
  <si>
    <t xml:space="preserve">TAS2R30</t>
  </si>
  <si>
    <t xml:space="preserve">TISSUE SPECIFICITY: Expressed in subsets of taste receptor cells of the tongue and exclusively in gustducin-positive cells.; </t>
  </si>
  <si>
    <t xml:space="preserve">TBC1D12</t>
  </si>
  <si>
    <t xml:space="preserve">uterus;prostate;smooth muscle;heart;islets of Langerhans;hypothalamus;placenta;liver;testis;kidney;brain;bladder;skin;</t>
  </si>
  <si>
    <t xml:space="preserve">dorsal root ganglion;medulla oblongata;superior cervical ganglion;spinal cord;ciliary ganglion;atrioventricular node;pons;trigeminal ganglion;parietal lobe;skin;</t>
  </si>
  <si>
    <t xml:space="preserve">TBC1D8</t>
  </si>
  <si>
    <t xml:space="preserve">TFCP2</t>
  </si>
  <si>
    <t xml:space="preserve">TISSUE SPECIFICITY: Ubiquitous. Expressed in brain, ovary, kidney, thymus, spleen, liver, adrenal, heart and lung (at protein level). {ECO:0000269|PubMed:10455131, ECO:0000269|PubMed:7828600, ECO:0000269|PubMed:8157699}.; </t>
  </si>
  <si>
    <t xml:space="preserve">ovary;salivary gland;intestine;colon;fovea centralis;choroid;skin;retina;bone marrow;uterus;prostate;optic nerve;frontal lobe;endometrium;larynx;bone;thyroid;pituitary gland;testis;amniotic fluid;germinal center;brain;bladder;unclassifiable (Anatomical System);cartilage;heart;hypothalamus;muscle;adrenal cortex;pharynx;blood;lens;skeletal muscle;breast;lung;epididymis;macula lutea;visual apparatus;hypopharynx;alveolus;liver;spleen;head and neck;cervix;kidney;stomach;</t>
  </si>
  <si>
    <t xml:space="preserve">dorsal root ganglion;superior cervical ganglion;subthalamic nucleus;testis - interstitial;occipital lobe;ciliary ganglion;pons;atrioventricular node;caudate nucleus;trigeminal ganglion;</t>
  </si>
  <si>
    <t xml:space="preserve">TJP1</t>
  </si>
  <si>
    <t xml:space="preserve">TISSUE SPECIFICITY: The alpha-containing isoform is found in most epithelial cell junctions. The short isoform is found both in endothelial cells and the highly specialized epithelial junctions of renal glomeruli and Sertoli cells of the seminiferous tubules.; </t>
  </si>
  <si>
    <t xml:space="preserve">ovary;developmental;colon;parathyroid;fovea centralis;choroid;skin;retina;bone marrow;uterus;prostate;optic nerve;whole body;frontal lobe;endometrium;larynx;bone;thyroid;testis;brain;bladder;unclassifiable (Anatomical System);cartilage;heart;tongue;islets of Langerhans;hypothalamus;spinal cord;urinary;blood;lens;skeletal muscle;breast;pancreas;lung;mesenchyma;trabecular meshwork;placenta;macula lutea;visual apparatus;hippocampus;liver;spleen;head and neck;cervix;kidney;aorta;stomach;</t>
  </si>
  <si>
    <t xml:space="preserve">dorsal root ganglion;superior cervical ganglion;medulla oblongata;occipital lobe;caudate nucleus;pons;atrioventricular node;skeletal muscle;uterus;subthalamic nucleus;testis;appendix;globus pallidus;ciliary ganglion;trigeminal ganglion;parietal lobe;</t>
  </si>
  <si>
    <t xml:space="preserve">TLR1</t>
  </si>
  <si>
    <t xml:space="preserve">TISSUE SPECIFICITY: Ubiquitous. Highly expressed in spleen, ovary, peripheral blood leukocytes, thymus and small intestine.; </t>
  </si>
  <si>
    <t xml:space="preserve">unclassifiable (Anatomical System);ovary;cartilage;colon;parathyroid;skin;retina;breast;lung;nasopharynx;placenta;bone;testis;germinal center;kidney;brain;</t>
  </si>
  <si>
    <t xml:space="preserve">dorsal root ganglion;superior cervical ganglion;ciliary ganglion;atrioventricular node;whole blood;trigeminal ganglion;skeletal muscle;</t>
  </si>
  <si>
    <t xml:space="preserve">TMEM107</t>
  </si>
  <si>
    <t xml:space="preserve">unclassifiable (Anatomical System);cartilage;heart;ovary;umbilical cord;pineal body;parathyroid;blood;fovea centralis;choroid;lens;retina;bone marrow;pancreas;optic nerve;lung;placenta;thyroid;macula lutea;liver;testis;stomach;</t>
  </si>
  <si>
    <t xml:space="preserve">superior cervical ganglion;testis;ciliary ganglion;pons;trigeminal ganglion;</t>
  </si>
  <si>
    <t xml:space="preserve">TMEM249</t>
  </si>
  <si>
    <t xml:space="preserve">TNFRSF25</t>
  </si>
  <si>
    <t xml:space="preserve">TISSUE SPECIFICITY: Abundantly expressed in thymocytes and lymphocytes. Detected in lymphocyte-rich tissues such as thymus, colon, intestine, and spleen. Also found in the prostate.; </t>
  </si>
  <si>
    <t xml:space="preserve">ovary;colon;parathyroid;fovea centralis;choroid;skin;retina;uterus;optic nerve;whole body;endometrium;testis;brain;unclassifiable (Anatomical System);heart;blood;lens;skeletal muscle;pancreas;lung;placenta;macula lutea;liver;spleen;cervix;mammary gland;stomach;peripheral nerve;thymus;</t>
  </si>
  <si>
    <t xml:space="preserve">superior cervical ganglion;fetal brain;cerebellum peduncles;prefrontal cortex;globus pallidus;ciliary ganglion;atrioventricular node;pons;trigeminal ganglion;skeletal muscle;cerebellum;</t>
  </si>
  <si>
    <t xml:space="preserve">TNRC18</t>
  </si>
  <si>
    <t xml:space="preserve">colon;parathyroid;choroid;fovea centralis;skin;retina;uterus;optic nerve;bone;iris;testis;germinal center;brain;unclassifiable (Anatomical System);heart;islets of Langerhans;lens;skeletal muscle;lung;placenta;macula lutea;liver;cervix;spleen;stomach;</t>
  </si>
  <si>
    <t xml:space="preserve">dorsal root ganglion;subthalamic nucleus;thalamus;superior cervical ganglion;globus pallidus;ciliary ganglion;pons;atrioventricular node;trigeminal ganglion;skeletal muscle;</t>
  </si>
  <si>
    <t xml:space="preserve">TUBGCP4</t>
  </si>
  <si>
    <t xml:space="preserve">ovary;salivary gland;sympathetic chain;intestine;colon;fovea centralis;choroid;skin;retina;bone marrow;uterus;prostate;optic nerve;whole body;frontal lobe;cochlea;larynx;bone;thyroid;pituitary gland;testis;brain;bladder;unclassifiable (Anatomical System);lymph node;heart;islets of Langerhans;hypothalamus;pharynx;blood;lens;skeletal muscle;breast;lung;placenta;macula lutea;visual apparatus;liver;spleen;head and neck;kidney;stomach;</t>
  </si>
  <si>
    <t xml:space="preserve">dorsal root ganglion;superior cervical ganglion;ciliary ganglion;pons;atrioventricular node;trigeminal ganglion;skeletal muscle;</t>
  </si>
  <si>
    <t xml:space="preserve">TYRO3</t>
  </si>
  <si>
    <t xml:space="preserve">TISSUE SPECIFICITY: Abundant in the brain and lower levels in other tissues.; </t>
  </si>
  <si>
    <t xml:space="preserve">ovary;sympathetic chain;colon;fovea centralis;choroid;skin;retina;uterus;optic nerve;frontal lobe;endometrium;synovium;bone;testis;brain;unclassifiable (Anatomical System);heart;adrenal cortex;lens;pancreas;lung;placenta;macula lutea;hippocampus;visual apparatus;liver;spleen;head and neck;cervix;kidney;stomach;</t>
  </si>
  <si>
    <t xml:space="preserve">amygdala;dorsal root ganglion;whole brain;superior cervical ganglion;medulla oblongata;occipital lobe;cerebellum peduncles;temporal lobe;caudate nucleus;pons;subthalamic nucleus;prefrontal cortex;testis;globus pallidus;parietal lobe;cingulate cortex;cerebellum;</t>
  </si>
  <si>
    <t xml:space="preserve">UBE2H</t>
  </si>
  <si>
    <t xml:space="preserve">ovary;salivary gland;intestine;colon;parathyroid;fovea centralis;choroid;skin;retina;bone marrow;uterus;prostate;optic nerve;whole body;frontal lobe;endometrium;bone;testis;germinal center;brain;pineal gland;bladder;unclassifiable (Anatomical System);lymph node;cartilage;heart;islets of Langerhans;hypothalamus;adrenal cortex;pharynx;blood;lens;skeletal muscle;breast;pancreas;lung;placenta;macula lutea;visual apparatus;alveolus;liver;spleen;head and neck;cervix;kidney;mammary gland;stomach;peripheral nerve;thymus;</t>
  </si>
  <si>
    <t xml:space="preserve">UBE2J2</t>
  </si>
  <si>
    <t xml:space="preserve">lymphoreticular;medulla oblongata;smooth muscle;ovary;skin;retina;bone marrow;prostate;optic nerve;cochlea;endometrium;iris;germinal center;brain;tonsil;heart;cartilage;blood;lens;breast;epididymis;visual apparatus;macula lutea;alveolus;liver;spleen;cervix;mammary gland;colon;parathyroid;fovea centralis;choroid;uterus;whole body;larynx;bone;testis;spinal ganglion;pineal gland;unclassifiable (Anatomical System);lacrimal gland;islets of Langerhans;muscle;bile duct;pancreas;lung;placenta;hippocampus;head and neck;kidney;stomach;</t>
  </si>
  <si>
    <t xml:space="preserve">dorsal root ganglion;superior cervical ganglion;testis - interstitial;testis;ciliary ganglion;</t>
  </si>
  <si>
    <t xml:space="preserve">UBR3</t>
  </si>
  <si>
    <t xml:space="preserve">ovary;salivary gland;sympathetic chain;intestine;colon;skin;bone marrow;uterus;prostate;frontal lobe;bone;germinal center;spinal ganglion;brain;bladder;unclassifiable (Anatomical System);cartilage;hypothalamus;pharynx;blood;skeletal muscle;greater omentum;bile duct;breast;lung;cornea;trabecular meshwork;placenta;visual apparatus;liver;duodenum;spleen;kidney;mammary gland;</t>
  </si>
  <si>
    <t xml:space="preserve">subthalamic nucleus;superior cervical ganglion;globus pallidus;ciliary ganglion;pons;atrioventricular node;trigeminal ganglion;</t>
  </si>
  <si>
    <t xml:space="preserve">UBR4</t>
  </si>
  <si>
    <t xml:space="preserve">UMAD1</t>
  </si>
  <si>
    <t xml:space="preserve">UMODL1</t>
  </si>
  <si>
    <t xml:space="preserve">TISSUE SPECIFICITY: Isoform 4 is expressed at low level in kidney, testis and fetal thymus. Isoform 3 is expressed at low level in prostate, testis and fetal thymus. {ECO:0000269|PubMed:15194491}.; </t>
  </si>
  <si>
    <t xml:space="preserve">USP12</t>
  </si>
  <si>
    <t xml:space="preserve">lung;cerebral cortex;endometrium;liver;duodenum;germinal center;skeletal muscle;</t>
  </si>
  <si>
    <t xml:space="preserve">fetal liver;superior cervical ganglion;subthalamic nucleus;ciliary ganglion;pons;atrioventricular node;trigeminal ganglion;skeletal muscle;skin;</t>
  </si>
  <si>
    <t xml:space="preserve">USP19</t>
  </si>
  <si>
    <t xml:space="preserve">ovary;colon;parathyroid;fovea centralis;choroid;skin;retina;bone marrow;uterus;optic nerve;frontal lobe;endometrium;bone;pituitary gland;testis;germinal center;brain;unclassifiable (Anatomical System);heart;cartilage;islets of Langerhans;muscle;lens;skeletal muscle;breast;pancreas;lung;placenta;macula lutea;liver;spleen;cervix;kidney;mammary gland;stomach;peripheral nerve;cerebellum;</t>
  </si>
  <si>
    <t xml:space="preserve">superior cervical ganglion;temporal lobe;atrioventricular node;trigeminal ganglion;parietal lobe;skeletal muscle;</t>
  </si>
  <si>
    <t xml:space="preserve">USP48</t>
  </si>
  <si>
    <t xml:space="preserve">TISSUE SPECIFICITY: Widely expressed. {ECO:0000269|PubMed:14715245, ECO:0000269|PubMed:15354349, ECO:0000269|PubMed:16214042}.; </t>
  </si>
  <si>
    <t xml:space="preserve">ovary;colon;skin;retina;uterus;prostate;whole body;frontal lobe;endometrium;larynx;bone;thyroid;testis;germinal center;brain;unclassifiable (Anatomical System);cartilage;heart;tongue;islets of Langerhans;muscle;adrenal cortex;blood;skeletal muscle;breast;pancreas;lung;placenta;visual apparatus;liver;spleen;head and neck;kidney;stomach;</t>
  </si>
  <si>
    <t xml:space="preserve">dorsal root ganglion;medulla oblongata;superior cervical ganglion;subthalamic nucleus;fetal brain;prefrontal cortex;globus pallidus;ciliary ganglion;caudate nucleus;trigeminal ganglion;parietal lobe;cingulate cortex;</t>
  </si>
  <si>
    <t xml:space="preserve">VWDE</t>
  </si>
  <si>
    <t xml:space="preserve">unclassifiable (Anatomical System);whole body;umbilical cord;islets of Langerhans;urinary;blood;</t>
  </si>
  <si>
    <t xml:space="preserve">dorsal root ganglion;superior cervical ganglion;globus pallidus;ciliary ganglion;atrioventricular node;</t>
  </si>
  <si>
    <t xml:space="preserve">WWP1</t>
  </si>
  <si>
    <t xml:space="preserve">TISSUE SPECIFICITY: Detected in heart, placenta, pancreas, kidney, liver, skeletal muscle, bone marrow, fetal brain, and at much lower levels in adult brain and lung. Isoform 1 and isoform 5 predominate in all tissues tested, except in testis and bone marrow, where isoform 5 is expressed at much higher levels than isoform 1. {ECO:0000269|PubMed:11779188, ECO:0000269|PubMed:9647693}.; </t>
  </si>
  <si>
    <t xml:space="preserve">ovary;colon;parathyroid;fovea centralis;skin;retina;bone marrow;uterus;prostate;cochlea;endometrium;bone;testis;amniotic fluid;germinal center;brain;bladder;unclassifiable (Anatomical System);cartilage;heart;islets of Langerhans;oral cavity;blood;skeletal muscle;breast;pancreas;lung;adrenal gland;nasopharynx;placenta;macula lutea;liver;spleen;head and neck;kidney;mammary gland;peripheral nerve;thymus;</t>
  </si>
  <si>
    <t xml:space="preserve">amygdala;dorsal root ganglion;ciliary ganglion;</t>
  </si>
  <si>
    <t xml:space="preserve">ZC3H3</t>
  </si>
  <si>
    <t xml:space="preserve">ovary;colon;fovea centralis;choroid;skin;bone marrow;retina;uterus;prostate;optic nerve;thyroid;bone;germinal center;bladder;brain;unclassifiable (Anatomical System);lymph node;cartilage;islets of Langerhans;lens;pancreas;lung;hippocampus;visual apparatus;macula lutea;liver;cervix;</t>
  </si>
  <si>
    <t xml:space="preserve">superior cervical ganglion;testis - interstitial;testis;pons;</t>
  </si>
  <si>
    <t xml:space="preserve">ZNF507</t>
  </si>
  <si>
    <t xml:space="preserve">ovary;colon;fovea centralis;choroid;skin;retina;uterus;optic nerve;cochlea;endometrium;bone;testis;germinal center;spinal ganglion;brain;unclassifiable (Anatomical System);lymph node;heart;cartilage;islets of Langerhans;blood;lens;skeletal muscle;breast;lung;nasopharynx;trabecular meshwork;placenta;macula lutea;liver;spleen;kidney;mammary gland;stomach;cerebellum;</t>
  </si>
  <si>
    <t xml:space="preserve">dorsal root ganglion;testis - interstitial;superior cervical ganglion;testis;ciliary ganglion;</t>
  </si>
  <si>
    <t xml:space="preserve">ZNF736</t>
  </si>
  <si>
    <t xml:space="preserve">unclassifiable (Anatomical System);ovary;placenta;parathyroid;</t>
  </si>
  <si>
    <t xml:space="preserve">dorsal root ganglion;testis - interstitial;subthalamic nucleus;superior cervical ganglion;globus pallidus;ciliary ganglion;atrioventricular node;trigeminal ganglion;skeletal muscle;</t>
  </si>
  <si>
    <t xml:space="preserve">ZNF780A</t>
  </si>
  <si>
    <t xml:space="preserve">unclassifiable (Anatomical System);cartilage;colon;blood;fovea centralis;choroid;lens;retina;uterus;prostate;optic nerve;lung;adrenal gland;bone;macula lutea;alveolus;testis;germinal center;kidney;aorta;</t>
  </si>
  <si>
    <t xml:space="preserve">ZNF780B</t>
  </si>
  <si>
    <t xml:space="preserve">unclassifiable (Anatomical System);uterus;lung;whole body;placenta;sympathetic chain;kidney;skeletal muscle;stomach;</t>
  </si>
  <si>
    <t xml:space="preserve">whole brain;subthalamic nucleus;superior cervical ganglion;cerebellum peduncles;prefrontal cortex;ciliary ganglion;atrioventricular node;pons;skeletal muscle;</t>
  </si>
</sst>
</file>

<file path=xl/styles.xml><?xml version="1.0" encoding="utf-8"?>
<styleSheet xmlns="http://schemas.openxmlformats.org/spreadsheetml/2006/main">
  <numFmts count="1">
    <numFmt numFmtId="164" formatCode="General"/>
  </numFmts>
  <fonts count="5">
    <font>
      <sz val="11"/>
      <color rgb="FF000000"/>
      <name val="Calibri"/>
      <family val="2"/>
      <charset val="1"/>
    </font>
    <font>
      <sz val="10"/>
      <name val="Arial"/>
      <family val="0"/>
    </font>
    <font>
      <sz val="10"/>
      <name val="Arial"/>
      <family val="0"/>
    </font>
    <font>
      <sz val="10"/>
      <name val="Arial"/>
      <family val="0"/>
    </font>
    <font>
      <b val="true"/>
      <sz val="11"/>
      <name val="Cambria"/>
      <family val="0"/>
      <charset val="1"/>
    </font>
  </fonts>
  <fills count="6">
    <fill>
      <patternFill patternType="none"/>
    </fill>
    <fill>
      <patternFill patternType="gray125"/>
    </fill>
    <fill>
      <patternFill patternType="solid">
        <fgColor rgb="FF81D41A"/>
        <bgColor rgb="FF999999"/>
      </patternFill>
    </fill>
    <fill>
      <patternFill patternType="solid">
        <fgColor rgb="FFA1467E"/>
        <bgColor rgb="FF993366"/>
      </patternFill>
    </fill>
    <fill>
      <patternFill patternType="solid">
        <fgColor rgb="FF729FCF"/>
        <bgColor rgb="FF999999"/>
      </patternFill>
    </fill>
    <fill>
      <patternFill patternType="solid">
        <fgColor rgb="FF999999"/>
        <bgColor rgb="FF808080"/>
      </patternFill>
    </fill>
  </fills>
  <borders count="2">
    <border diagonalUp="false" diagonalDown="false">
      <left/>
      <right/>
      <top/>
      <bottom/>
      <diagonal/>
    </border>
    <border diagonalUp="false" diagonalDown="false">
      <left style="thin"/>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6">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1" xfId="0" applyFont="true" applyBorder="true" applyAlignment="true" applyProtection="false">
      <alignment horizontal="center" vertical="top" textRotation="0" wrapText="false" indent="0" shrinkToFit="false"/>
      <protection locked="true" hidden="false"/>
    </xf>
    <xf numFmtId="164" fontId="0" fillId="2" borderId="0" xfId="0" applyFont="false" applyBorder="false" applyAlignment="false" applyProtection="false">
      <alignment horizontal="general" vertical="bottom" textRotation="0" wrapText="false" indent="0" shrinkToFit="false"/>
      <protection locked="true" hidden="false"/>
    </xf>
    <xf numFmtId="164" fontId="0" fillId="3" borderId="0" xfId="0" applyFont="false" applyBorder="false" applyAlignment="false" applyProtection="false">
      <alignment horizontal="general" vertical="bottom" textRotation="0" wrapText="false" indent="0" shrinkToFit="false"/>
      <protection locked="tru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0" fillId="5" borderId="0" xfId="0" applyFont="false" applyBorder="false" applyAlignment="false" applyProtection="false">
      <alignment horizontal="general"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729FCF"/>
      <rgbColor rgb="FFA1467E"/>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81D41A"/>
      <rgbColor rgb="FFFFCC00"/>
      <rgbColor rgb="FFFF9900"/>
      <rgbColor rgb="FFFF6600"/>
      <rgbColor rgb="FF666699"/>
      <rgbColor rgb="FF999999"/>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L351"/>
  <sheetViews>
    <sheetView showFormulas="false" showGridLines="true" showRowColHeaders="true" showZeros="true" rightToLeft="false" tabSelected="true" showOutlineSymbols="true" defaultGridColor="true" view="normal" topLeftCell="A49" colorId="64" zoomScale="120" zoomScaleNormal="120" zoomScalePageLayoutView="100" workbookViewId="0">
      <selection pane="topLeft" activeCell="L160" activeCellId="0" sqref="L160"/>
    </sheetView>
  </sheetViews>
  <sheetFormatPr defaultColWidth="8.6953125" defaultRowHeight="15" zeroHeight="false" outlineLevelRow="0" outlineLevelCol="0"/>
  <cols>
    <col collapsed="false" customWidth="true" hidden="false" outlineLevel="0" max="12" min="12" style="0" width="13.47"/>
    <col collapsed="false" customWidth="true" hidden="false" outlineLevel="0" max="27" min="27" style="0" width="36.83"/>
    <col collapsed="false" customWidth="true" hidden="false" outlineLevel="0" max="28" min="28" style="0" width="35.85"/>
  </cols>
  <sheetData>
    <row r="1" customFormat="false" ht="15" hidden="false" customHeight="false" outlineLevel="0" collapsed="false">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row>
    <row r="2" s="2" customFormat="true" ht="15" hidden="false" customHeight="false" outlineLevel="0" collapsed="false">
      <c r="B2" s="2" t="str">
        <f aca="false">HYPERLINK("https://genome.ucsc.edu/cgi-bin/hgTracks?db=hg19&amp;position=chr19%3A40554705%2D40554705", "chr19:40554705")</f>
        <v>chr19:40554705</v>
      </c>
      <c r="C2" s="2" t="s">
        <v>38</v>
      </c>
      <c r="D2" s="2" t="n">
        <v>40554705</v>
      </c>
      <c r="E2" s="2" t="n">
        <v>40554705</v>
      </c>
      <c r="F2" s="2" t="s">
        <v>39</v>
      </c>
      <c r="G2" s="2" t="s">
        <v>40</v>
      </c>
      <c r="H2" s="2" t="s">
        <v>41</v>
      </c>
      <c r="I2" s="2" t="s">
        <v>42</v>
      </c>
      <c r="J2" s="2" t="s">
        <v>43</v>
      </c>
      <c r="K2" s="2" t="s">
        <v>44</v>
      </c>
      <c r="L2" s="2" t="str">
        <f aca="false">HYPERLINK("https://www.ncbi.nlm.nih.gov/snp/rs112293642", "rs112293642")</f>
        <v>rs112293642</v>
      </c>
      <c r="M2" s="2" t="str">
        <f aca="false">HYPERLINK("https://www.genecards.org/Search/Keyword?queryString=%5Baliases%5D(%20ZNF780B%20)&amp;keywords=ZNF780B", "ZNF780B")</f>
        <v>ZNF780B</v>
      </c>
      <c r="N2" s="2" t="s">
        <v>45</v>
      </c>
      <c r="O2" s="2" t="s">
        <v>46</v>
      </c>
      <c r="P2" s="2" t="s">
        <v>47</v>
      </c>
      <c r="Q2" s="2" t="n">
        <v>0.0139</v>
      </c>
      <c r="R2" s="2" t="n">
        <v>0.0133</v>
      </c>
      <c r="S2" s="2" t="n">
        <v>0.0143</v>
      </c>
      <c r="T2" s="2" t="n">
        <v>-1</v>
      </c>
      <c r="U2" s="2" t="n">
        <v>0.0133</v>
      </c>
      <c r="V2" s="2" t="s">
        <v>48</v>
      </c>
      <c r="W2" s="2" t="s">
        <v>49</v>
      </c>
      <c r="X2" s="2" t="s">
        <v>49</v>
      </c>
      <c r="Y2" s="2" t="s">
        <v>50</v>
      </c>
      <c r="Z2" s="2" t="s">
        <v>51</v>
      </c>
      <c r="AA2" s="2" t="s">
        <v>46</v>
      </c>
      <c r="AB2" s="2" t="s">
        <v>46</v>
      </c>
      <c r="AC2" s="2" t="s">
        <v>52</v>
      </c>
      <c r="AD2" s="2" t="s">
        <v>53</v>
      </c>
      <c r="AE2" s="2" t="s">
        <v>54</v>
      </c>
      <c r="AF2" s="2" t="s">
        <v>55</v>
      </c>
      <c r="AG2" s="2" t="s">
        <v>56</v>
      </c>
      <c r="AH2" s="2" t="s">
        <v>46</v>
      </c>
      <c r="AI2" s="2" t="s">
        <v>46</v>
      </c>
      <c r="AJ2" s="2" t="s">
        <v>46</v>
      </c>
      <c r="AK2" s="2" t="s">
        <v>46</v>
      </c>
      <c r="AL2" s="2" t="s">
        <v>46</v>
      </c>
    </row>
    <row r="3" s="2" customFormat="true" ht="15" hidden="false" customHeight="false" outlineLevel="0" collapsed="false">
      <c r="B3" s="2" t="str">
        <f aca="false">HYPERLINK("https://genome.ucsc.edu/cgi-bin/hgTracks?db=hg19&amp;position=chr7%3A42063224%2D42063224", "chr7:42063224")</f>
        <v>chr7:42063224</v>
      </c>
      <c r="C3" s="2" t="s">
        <v>57</v>
      </c>
      <c r="D3" s="2" t="n">
        <v>42063224</v>
      </c>
      <c r="E3" s="2" t="n">
        <v>42063224</v>
      </c>
      <c r="F3" s="2" t="s">
        <v>58</v>
      </c>
      <c r="G3" s="2" t="s">
        <v>40</v>
      </c>
      <c r="H3" s="2" t="s">
        <v>59</v>
      </c>
      <c r="I3" s="2" t="s">
        <v>60</v>
      </c>
      <c r="J3" s="2" t="s">
        <v>61</v>
      </c>
      <c r="K3" s="2" t="s">
        <v>62</v>
      </c>
      <c r="L3" s="2" t="str">
        <f aca="false">HYPERLINK("https://www.ncbi.nlm.nih.gov/snp/rs190600888", "rs190600888")</f>
        <v>rs190600888</v>
      </c>
      <c r="M3" s="2" t="str">
        <f aca="false">HYPERLINK("https://www.genecards.org/Search/Keyword?queryString=%5Baliases%5D(%20GLI3%20)&amp;keywords=GLI3", "GLI3")</f>
        <v>GLI3</v>
      </c>
      <c r="N3" s="2" t="s">
        <v>63</v>
      </c>
      <c r="O3" s="2" t="s">
        <v>46</v>
      </c>
      <c r="P3" s="2" t="s">
        <v>46</v>
      </c>
      <c r="Q3" s="2" t="n">
        <v>0.0065</v>
      </c>
      <c r="R3" s="2" t="n">
        <v>0.0081</v>
      </c>
      <c r="S3" s="2" t="n">
        <v>0.0065</v>
      </c>
      <c r="T3" s="2" t="n">
        <v>-1</v>
      </c>
      <c r="U3" s="2" t="n">
        <v>0.0119</v>
      </c>
      <c r="V3" s="2" t="s">
        <v>46</v>
      </c>
      <c r="W3" s="2" t="s">
        <v>46</v>
      </c>
      <c r="X3" s="2" t="s">
        <v>49</v>
      </c>
      <c r="Y3" s="2" t="s">
        <v>64</v>
      </c>
      <c r="Z3" s="2" t="s">
        <v>46</v>
      </c>
      <c r="AA3" s="2" t="s">
        <v>46</v>
      </c>
      <c r="AB3" s="2" t="s">
        <v>65</v>
      </c>
      <c r="AC3" s="2" t="s">
        <v>52</v>
      </c>
      <c r="AD3" s="2" t="s">
        <v>53</v>
      </c>
      <c r="AE3" s="2" t="s">
        <v>66</v>
      </c>
      <c r="AF3" s="2" t="s">
        <v>67</v>
      </c>
      <c r="AG3" s="2" t="s">
        <v>68</v>
      </c>
      <c r="AH3" s="2" t="s">
        <v>69</v>
      </c>
      <c r="AI3" s="2" t="s">
        <v>46</v>
      </c>
      <c r="AJ3" s="2" t="s">
        <v>46</v>
      </c>
      <c r="AK3" s="2" t="s">
        <v>46</v>
      </c>
      <c r="AL3" s="2" t="s">
        <v>46</v>
      </c>
    </row>
    <row r="4" s="2" customFormat="true" ht="15" hidden="false" customHeight="false" outlineLevel="0" collapsed="false">
      <c r="A4" s="2" t="s">
        <v>70</v>
      </c>
      <c r="B4" s="2" t="str">
        <f aca="false">HYPERLINK("https://genome.ucsc.edu/cgi-bin/hgTracks?db=hg19&amp;position=chr1%3A156851382%2D156851382", "chr1:156851382")</f>
        <v>chr1:156851382</v>
      </c>
      <c r="C4" s="2" t="s">
        <v>71</v>
      </c>
      <c r="D4" s="2" t="n">
        <v>156851382</v>
      </c>
      <c r="E4" s="2" t="n">
        <v>156851382</v>
      </c>
      <c r="F4" s="2" t="s">
        <v>58</v>
      </c>
      <c r="G4" s="2" t="s">
        <v>72</v>
      </c>
      <c r="H4" s="2" t="s">
        <v>73</v>
      </c>
      <c r="I4" s="2" t="s">
        <v>74</v>
      </c>
      <c r="J4" s="2" t="s">
        <v>75</v>
      </c>
      <c r="K4" s="2" t="s">
        <v>76</v>
      </c>
      <c r="L4" s="2" t="str">
        <f aca="false">HYPERLINK("https://www.ncbi.nlm.nih.gov/snp/rs35669708", "rs35669708")</f>
        <v>rs35669708</v>
      </c>
      <c r="M4" s="2" t="str">
        <f aca="false">HYPERLINK("https://www.genecards.org/Search/Keyword?queryString=%5Baliases%5D(%20NTRK1%20)&amp;keywords=NTRK1", "NTRK1")</f>
        <v>NTRK1</v>
      </c>
      <c r="N4" s="2" t="s">
        <v>77</v>
      </c>
      <c r="O4" s="2" t="s">
        <v>78</v>
      </c>
      <c r="P4" s="2" t="s">
        <v>79</v>
      </c>
      <c r="Q4" s="2" t="n">
        <v>0.012346</v>
      </c>
      <c r="R4" s="2" t="n">
        <v>0.0062</v>
      </c>
      <c r="S4" s="2" t="n">
        <v>0.0048</v>
      </c>
      <c r="T4" s="2" t="n">
        <v>-1</v>
      </c>
      <c r="U4" s="2" t="n">
        <v>0.0041</v>
      </c>
      <c r="V4" s="2" t="s">
        <v>80</v>
      </c>
      <c r="W4" s="2" t="s">
        <v>46</v>
      </c>
      <c r="X4" s="2" t="s">
        <v>46</v>
      </c>
      <c r="Y4" s="2" t="s">
        <v>46</v>
      </c>
      <c r="Z4" s="2" t="s">
        <v>51</v>
      </c>
      <c r="AA4" s="2" t="s">
        <v>81</v>
      </c>
      <c r="AB4" s="2" t="s">
        <v>65</v>
      </c>
      <c r="AC4" s="2" t="s">
        <v>52</v>
      </c>
      <c r="AD4" s="2" t="s">
        <v>53</v>
      </c>
      <c r="AE4" s="2" t="s">
        <v>82</v>
      </c>
      <c r="AF4" s="2" t="s">
        <v>83</v>
      </c>
      <c r="AG4" s="2" t="s">
        <v>84</v>
      </c>
      <c r="AH4" s="2" t="s">
        <v>85</v>
      </c>
      <c r="AI4" s="2" t="s">
        <v>46</v>
      </c>
      <c r="AJ4" s="2" t="s">
        <v>46</v>
      </c>
      <c r="AK4" s="2" t="s">
        <v>46</v>
      </c>
      <c r="AL4" s="2" t="s">
        <v>46</v>
      </c>
    </row>
    <row r="5" s="3" customFormat="true" ht="15" hidden="false" customHeight="false" outlineLevel="0" collapsed="false">
      <c r="A5" s="2" t="s">
        <v>70</v>
      </c>
      <c r="B5" s="2" t="str">
        <f aca="false">HYPERLINK("https://genome.ucsc.edu/cgi-bin/hgTracks?db=hg19&amp;position=chr1%3A94517254%2D94517254", "chr1:94517254")</f>
        <v>chr1:94517254</v>
      </c>
      <c r="C5" s="2" t="s">
        <v>71</v>
      </c>
      <c r="D5" s="2" t="n">
        <v>94517254</v>
      </c>
      <c r="E5" s="2" t="n">
        <v>94517254</v>
      </c>
      <c r="F5" s="2" t="s">
        <v>40</v>
      </c>
      <c r="G5" s="2" t="s">
        <v>58</v>
      </c>
      <c r="H5" s="2" t="s">
        <v>86</v>
      </c>
      <c r="I5" s="2" t="s">
        <v>87</v>
      </c>
      <c r="J5" s="2" t="s">
        <v>88</v>
      </c>
      <c r="K5" s="2" t="s">
        <v>89</v>
      </c>
      <c r="L5" s="2" t="str">
        <f aca="false">HYPERLINK("https://www.ncbi.nlm.nih.gov/snp/rs76157638", "rs76157638")</f>
        <v>rs76157638</v>
      </c>
      <c r="M5" s="2" t="str">
        <f aca="false">HYPERLINK("https://www.genecards.org/Search/Keyword?queryString=%5Baliases%5D(%20ABCA4%20)&amp;keywords=ABCA4", "ABCA4")</f>
        <v>ABCA4</v>
      </c>
      <c r="N5" s="2" t="s">
        <v>77</v>
      </c>
      <c r="O5" s="2" t="s">
        <v>78</v>
      </c>
      <c r="P5" s="2" t="s">
        <v>90</v>
      </c>
      <c r="Q5" s="2" t="n">
        <v>0.0064</v>
      </c>
      <c r="R5" s="2" t="n">
        <v>0.0057</v>
      </c>
      <c r="S5" s="2" t="n">
        <v>0.0062</v>
      </c>
      <c r="T5" s="2" t="n">
        <v>-1</v>
      </c>
      <c r="U5" s="2" t="n">
        <v>0.0047</v>
      </c>
      <c r="V5" s="2" t="s">
        <v>91</v>
      </c>
      <c r="W5" s="2" t="s">
        <v>49</v>
      </c>
      <c r="X5" s="2" t="s">
        <v>46</v>
      </c>
      <c r="Y5" s="2" t="s">
        <v>46</v>
      </c>
      <c r="Z5" s="2" t="s">
        <v>92</v>
      </c>
      <c r="AA5" s="2" t="s">
        <v>93</v>
      </c>
      <c r="AB5" s="2" t="s">
        <v>46</v>
      </c>
      <c r="AC5" s="2" t="s">
        <v>52</v>
      </c>
      <c r="AD5" s="2" t="s">
        <v>94</v>
      </c>
      <c r="AE5" s="2" t="s">
        <v>95</v>
      </c>
      <c r="AF5" s="2" t="s">
        <v>96</v>
      </c>
      <c r="AG5" s="2" t="s">
        <v>97</v>
      </c>
      <c r="AH5" s="2" t="s">
        <v>98</v>
      </c>
      <c r="AI5" s="2" t="s">
        <v>46</v>
      </c>
      <c r="AJ5" s="2" t="s">
        <v>46</v>
      </c>
      <c r="AK5" s="2" t="s">
        <v>46</v>
      </c>
      <c r="AL5" s="2" t="s">
        <v>46</v>
      </c>
    </row>
    <row r="6" s="2" customFormat="true" ht="13.8" hidden="false" customHeight="false" outlineLevel="0" collapsed="false">
      <c r="B6" s="2" t="str">
        <f aca="false">HYPERLINK("https://genome.ucsc.edu/cgi-bin/hgTracks?db=hg19&amp;position=chr7%3A142641420%2D142641420", "chr7:142641420")</f>
        <v>chr7:142641420</v>
      </c>
      <c r="C6" s="2" t="s">
        <v>57</v>
      </c>
      <c r="D6" s="2" t="n">
        <v>142641420</v>
      </c>
      <c r="E6" s="2" t="n">
        <v>142641420</v>
      </c>
      <c r="F6" s="2" t="s">
        <v>39</v>
      </c>
      <c r="G6" s="2" t="s">
        <v>72</v>
      </c>
      <c r="H6" s="2" t="s">
        <v>99</v>
      </c>
      <c r="I6" s="2" t="s">
        <v>100</v>
      </c>
      <c r="J6" s="2" t="s">
        <v>101</v>
      </c>
      <c r="K6" s="2" t="s">
        <v>102</v>
      </c>
      <c r="L6" s="2" t="str">
        <f aca="false">HYPERLINK("https://www.ncbi.nlm.nih.gov/snp/rs61729032", "rs61729032")</f>
        <v>rs61729032</v>
      </c>
      <c r="M6" s="2" t="str">
        <f aca="false">HYPERLINK("https://www.genecards.org/Search/Keyword?queryString=%5Baliases%5D(%20KEL%20)&amp;keywords=KEL", "KEL")</f>
        <v>KEL</v>
      </c>
      <c r="N6" s="2" t="s">
        <v>77</v>
      </c>
      <c r="O6" s="2" t="s">
        <v>78</v>
      </c>
      <c r="P6" s="2" t="s">
        <v>103</v>
      </c>
      <c r="Q6" s="2" t="n">
        <v>0.0175</v>
      </c>
      <c r="R6" s="2" t="n">
        <v>0.0085</v>
      </c>
      <c r="S6" s="2" t="n">
        <v>0.0083</v>
      </c>
      <c r="T6" s="2" t="n">
        <v>-1</v>
      </c>
      <c r="U6" s="2" t="n">
        <v>0.0076</v>
      </c>
      <c r="V6" s="2" t="s">
        <v>80</v>
      </c>
      <c r="W6" s="2" t="s">
        <v>46</v>
      </c>
      <c r="X6" s="2" t="s">
        <v>46</v>
      </c>
      <c r="Y6" s="2" t="s">
        <v>46</v>
      </c>
      <c r="Z6" s="2" t="s">
        <v>104</v>
      </c>
      <c r="AA6" s="2" t="s">
        <v>105</v>
      </c>
      <c r="AB6" s="2" t="s">
        <v>46</v>
      </c>
      <c r="AC6" s="2" t="s">
        <v>52</v>
      </c>
      <c r="AD6" s="2" t="s">
        <v>53</v>
      </c>
      <c r="AE6" s="2" t="s">
        <v>106</v>
      </c>
      <c r="AF6" s="2" t="s">
        <v>107</v>
      </c>
      <c r="AG6" s="2" t="s">
        <v>108</v>
      </c>
      <c r="AH6" s="2" t="s">
        <v>46</v>
      </c>
      <c r="AI6" s="2" t="s">
        <v>46</v>
      </c>
      <c r="AJ6" s="2" t="s">
        <v>46</v>
      </c>
      <c r="AK6" s="2" t="s">
        <v>46</v>
      </c>
      <c r="AL6" s="2" t="s">
        <v>46</v>
      </c>
    </row>
    <row r="7" s="2" customFormat="true" ht="15" hidden="false" customHeight="false" outlineLevel="0" collapsed="false">
      <c r="A7" s="2" t="s">
        <v>70</v>
      </c>
      <c r="B7" s="2" t="str">
        <f aca="false">HYPERLINK("https://genome.ucsc.edu/cgi-bin/hgTracks?db=hg19&amp;position=chrX%3A100653420%2D100653420", "chrX:100653420")</f>
        <v>chrX:100653420</v>
      </c>
      <c r="C7" s="2" t="s">
        <v>109</v>
      </c>
      <c r="D7" s="2" t="n">
        <v>100653420</v>
      </c>
      <c r="E7" s="2" t="n">
        <v>100653420</v>
      </c>
      <c r="F7" s="2" t="s">
        <v>40</v>
      </c>
      <c r="G7" s="2" t="s">
        <v>72</v>
      </c>
      <c r="H7" s="2" t="s">
        <v>110</v>
      </c>
      <c r="I7" s="2" t="s">
        <v>111</v>
      </c>
      <c r="J7" s="2" t="s">
        <v>112</v>
      </c>
      <c r="K7" s="2" t="s">
        <v>113</v>
      </c>
      <c r="L7" s="2" t="str">
        <f aca="false">HYPERLINK("https://www.ncbi.nlm.nih.gov/snp/rs28935490", "rs28935490")</f>
        <v>rs28935490</v>
      </c>
      <c r="M7" s="4" t="str">
        <f aca="false">HYPERLINK("https://www.genecards.org/Search/Keyword?queryString=%5Baliases%5D(%20GLA%20)&amp;keywords=GLA", "GLA")</f>
        <v>GLA</v>
      </c>
      <c r="N7" s="2" t="s">
        <v>77</v>
      </c>
      <c r="O7" s="2" t="s">
        <v>78</v>
      </c>
      <c r="P7" s="2" t="s">
        <v>114</v>
      </c>
      <c r="Q7" s="2" t="n">
        <v>0.0115</v>
      </c>
      <c r="R7" s="2" t="n">
        <v>0.005</v>
      </c>
      <c r="S7" s="2" t="n">
        <v>0.005</v>
      </c>
      <c r="T7" s="2" t="n">
        <v>-1</v>
      </c>
      <c r="U7" s="2" t="n">
        <v>0.0055</v>
      </c>
      <c r="V7" s="2" t="s">
        <v>115</v>
      </c>
      <c r="W7" s="2" t="s">
        <v>46</v>
      </c>
      <c r="X7" s="2" t="s">
        <v>46</v>
      </c>
      <c r="Y7" s="2" t="s">
        <v>46</v>
      </c>
      <c r="Z7" s="2" t="s">
        <v>116</v>
      </c>
      <c r="AA7" s="2" t="s">
        <v>117</v>
      </c>
      <c r="AB7" s="2" t="s">
        <v>118</v>
      </c>
      <c r="AC7" s="2" t="s">
        <v>52</v>
      </c>
      <c r="AD7" s="2" t="s">
        <v>53</v>
      </c>
      <c r="AE7" s="2" t="s">
        <v>119</v>
      </c>
      <c r="AF7" s="2" t="s">
        <v>120</v>
      </c>
      <c r="AG7" s="2" t="s">
        <v>46</v>
      </c>
      <c r="AH7" s="2" t="s">
        <v>121</v>
      </c>
      <c r="AI7" s="2" t="s">
        <v>46</v>
      </c>
      <c r="AJ7" s="2" t="s">
        <v>46</v>
      </c>
      <c r="AK7" s="2" t="s">
        <v>46</v>
      </c>
      <c r="AL7" s="2" t="s">
        <v>46</v>
      </c>
    </row>
    <row r="8" s="2" customFormat="true" ht="13.8" hidden="false" customHeight="false" outlineLevel="0" collapsed="false">
      <c r="B8" s="2" t="str">
        <f aca="false">HYPERLINK("https://genome.ucsc.edu/cgi-bin/hgTracks?db=hg19&amp;position=chr2%3A21242613%2D21242613", "chr2:21242613")</f>
        <v>chr2:21242613</v>
      </c>
      <c r="C8" s="2" t="s">
        <v>122</v>
      </c>
      <c r="D8" s="2" t="n">
        <v>21242613</v>
      </c>
      <c r="E8" s="2" t="n">
        <v>21242613</v>
      </c>
      <c r="F8" s="2" t="s">
        <v>58</v>
      </c>
      <c r="G8" s="2" t="s">
        <v>72</v>
      </c>
      <c r="H8" s="2" t="s">
        <v>123</v>
      </c>
      <c r="I8" s="2" t="s">
        <v>124</v>
      </c>
      <c r="J8" s="2" t="s">
        <v>125</v>
      </c>
      <c r="K8" s="2" t="s">
        <v>126</v>
      </c>
      <c r="L8" s="2" t="str">
        <f aca="false">HYPERLINK("https://www.ncbi.nlm.nih.gov/snp/rs41288783", "rs41288783")</f>
        <v>rs41288783</v>
      </c>
      <c r="M8" s="4" t="str">
        <f aca="false">HYPERLINK("https://www.genecards.org/Search/Keyword?queryString=%5Baliases%5D(%20APOB%20)&amp;keywords=APOB", "APOB")</f>
        <v>APOB</v>
      </c>
      <c r="N8" s="2" t="s">
        <v>77</v>
      </c>
      <c r="O8" s="2" t="s">
        <v>78</v>
      </c>
      <c r="P8" s="2" t="s">
        <v>127</v>
      </c>
      <c r="Q8" s="2" t="n">
        <v>0.005</v>
      </c>
      <c r="R8" s="2" t="n">
        <v>0.0012</v>
      </c>
      <c r="S8" s="2" t="n">
        <v>0.0018</v>
      </c>
      <c r="T8" s="2" t="n">
        <v>-1</v>
      </c>
      <c r="U8" s="2" t="n">
        <v>0.0041</v>
      </c>
      <c r="V8" s="2" t="s">
        <v>128</v>
      </c>
      <c r="W8" s="2" t="s">
        <v>46</v>
      </c>
      <c r="X8" s="2" t="s">
        <v>46</v>
      </c>
      <c r="Y8" s="2" t="s">
        <v>46</v>
      </c>
      <c r="Z8" s="2" t="s">
        <v>129</v>
      </c>
      <c r="AA8" s="2" t="s">
        <v>117</v>
      </c>
      <c r="AB8" s="2" t="s">
        <v>130</v>
      </c>
      <c r="AC8" s="2" t="s">
        <v>52</v>
      </c>
      <c r="AD8" s="2" t="s">
        <v>53</v>
      </c>
      <c r="AE8" s="2" t="s">
        <v>131</v>
      </c>
      <c r="AF8" s="2" t="s">
        <v>132</v>
      </c>
      <c r="AG8" s="2" t="s">
        <v>133</v>
      </c>
      <c r="AH8" s="2" t="s">
        <v>134</v>
      </c>
      <c r="AI8" s="2" t="s">
        <v>46</v>
      </c>
      <c r="AJ8" s="2" t="s">
        <v>46</v>
      </c>
      <c r="AK8" s="2" t="s">
        <v>46</v>
      </c>
      <c r="AL8" s="2" t="s">
        <v>46</v>
      </c>
    </row>
    <row r="9" s="2" customFormat="true" ht="15" hidden="false" customHeight="false" outlineLevel="0" collapsed="false">
      <c r="B9" s="2" t="str">
        <f aca="false">HYPERLINK("https://genome.ucsc.edu/cgi-bin/hgTracks?db=hg19&amp;position=chr5%3A146795329%2D146795329", "chr5:146795329")</f>
        <v>chr5:146795329</v>
      </c>
      <c r="C9" s="2" t="s">
        <v>135</v>
      </c>
      <c r="D9" s="2" t="n">
        <v>146795329</v>
      </c>
      <c r="E9" s="2" t="n">
        <v>146795329</v>
      </c>
      <c r="F9" s="2" t="s">
        <v>39</v>
      </c>
      <c r="G9" s="2" t="s">
        <v>40</v>
      </c>
      <c r="H9" s="2" t="s">
        <v>136</v>
      </c>
      <c r="I9" s="2" t="s">
        <v>137</v>
      </c>
      <c r="J9" s="2" t="s">
        <v>138</v>
      </c>
      <c r="K9" s="2" t="s">
        <v>139</v>
      </c>
      <c r="L9" s="2" t="str">
        <f aca="false">HYPERLINK("https://www.ncbi.nlm.nih.gov/snp/rs147541241", "rs147541241")</f>
        <v>rs147541241</v>
      </c>
      <c r="M9" s="2" t="str">
        <f aca="false">HYPERLINK("https://www.genecards.org/Search/Keyword?queryString=%5Baliases%5D(%20DPYSL3%20)&amp;keywords=DPYSL3", "DPYSL3")</f>
        <v>DPYSL3</v>
      </c>
      <c r="N9" s="2" t="s">
        <v>77</v>
      </c>
      <c r="O9" s="2" t="s">
        <v>78</v>
      </c>
      <c r="P9" s="2" t="s">
        <v>140</v>
      </c>
      <c r="Q9" s="2" t="n">
        <v>0.017241</v>
      </c>
      <c r="R9" s="2" t="n">
        <v>0.0102</v>
      </c>
      <c r="S9" s="2" t="n">
        <v>0.0085</v>
      </c>
      <c r="T9" s="2" t="n">
        <v>-1</v>
      </c>
      <c r="U9" s="2" t="n">
        <v>0.0136</v>
      </c>
      <c r="V9" s="2" t="s">
        <v>141</v>
      </c>
      <c r="W9" s="2" t="s">
        <v>46</v>
      </c>
      <c r="X9" s="2" t="s">
        <v>46</v>
      </c>
      <c r="Y9" s="2" t="s">
        <v>46</v>
      </c>
      <c r="Z9" s="2" t="s">
        <v>92</v>
      </c>
      <c r="AA9" s="2" t="s">
        <v>105</v>
      </c>
      <c r="AB9" s="2" t="s">
        <v>46</v>
      </c>
      <c r="AC9" s="2" t="s">
        <v>52</v>
      </c>
      <c r="AD9" s="2" t="s">
        <v>53</v>
      </c>
      <c r="AE9" s="2" t="s">
        <v>142</v>
      </c>
      <c r="AF9" s="2" t="s">
        <v>143</v>
      </c>
      <c r="AG9" s="2" t="s">
        <v>144</v>
      </c>
      <c r="AH9" s="2" t="s">
        <v>46</v>
      </c>
      <c r="AI9" s="2" t="s">
        <v>46</v>
      </c>
      <c r="AJ9" s="2" t="s">
        <v>46</v>
      </c>
      <c r="AK9" s="2" t="s">
        <v>46</v>
      </c>
      <c r="AL9" s="2" t="s">
        <v>46</v>
      </c>
    </row>
    <row r="10" customFormat="false" ht="15" hidden="false" customHeight="false" outlineLevel="0" collapsed="false">
      <c r="A10" s="3"/>
      <c r="B10" s="3" t="str">
        <f aca="false">HYPERLINK("https://genome.ucsc.edu/cgi-bin/hgTracks?db=hg19&amp;position=chr12%3A64502747%2D64502747", "chr12:64502747")</f>
        <v>chr12:64502747</v>
      </c>
      <c r="C10" s="3" t="s">
        <v>145</v>
      </c>
      <c r="D10" s="3" t="n">
        <v>64502747</v>
      </c>
      <c r="E10" s="3" t="n">
        <v>64502747</v>
      </c>
      <c r="F10" s="3" t="s">
        <v>40</v>
      </c>
      <c r="G10" s="3" t="s">
        <v>39</v>
      </c>
      <c r="H10" s="3" t="s">
        <v>146</v>
      </c>
      <c r="I10" s="3" t="s">
        <v>147</v>
      </c>
      <c r="J10" s="3" t="s">
        <v>148</v>
      </c>
      <c r="K10" s="3" t="s">
        <v>149</v>
      </c>
      <c r="L10" s="3" t="str">
        <f aca="false">HYPERLINK("https://www.ncbi.nlm.nih.gov/snp/rs114817817", "rs114817817")</f>
        <v>rs114817817</v>
      </c>
      <c r="M10" s="3" t="str">
        <f aca="false">HYPERLINK("https://www.genecards.org/Search/Keyword?queryString=%5Baliases%5D(%20SRGAP1%20)&amp;keywords=SRGAP1", "SRGAP1")</f>
        <v>SRGAP1</v>
      </c>
      <c r="N10" s="3" t="s">
        <v>77</v>
      </c>
      <c r="O10" s="3" t="s">
        <v>78</v>
      </c>
      <c r="P10" s="3" t="s">
        <v>150</v>
      </c>
      <c r="Q10" s="3" t="n">
        <v>0.017241</v>
      </c>
      <c r="R10" s="3" t="n">
        <v>0.0012</v>
      </c>
      <c r="S10" s="3" t="n">
        <v>0.0018</v>
      </c>
      <c r="T10" s="3" t="n">
        <v>-1</v>
      </c>
      <c r="U10" s="3" t="n">
        <v>0.0004</v>
      </c>
      <c r="V10" s="3" t="s">
        <v>91</v>
      </c>
      <c r="W10" s="3" t="s">
        <v>46</v>
      </c>
      <c r="X10" s="3" t="s">
        <v>46</v>
      </c>
      <c r="Y10" s="3" t="s">
        <v>46</v>
      </c>
      <c r="Z10" s="3" t="s">
        <v>151</v>
      </c>
      <c r="AA10" s="3" t="s">
        <v>105</v>
      </c>
      <c r="AB10" s="3" t="s">
        <v>152</v>
      </c>
      <c r="AC10" s="3" t="s">
        <v>52</v>
      </c>
      <c r="AD10" s="3" t="s">
        <v>53</v>
      </c>
      <c r="AE10" s="3" t="s">
        <v>153</v>
      </c>
      <c r="AF10" s="3" t="s">
        <v>154</v>
      </c>
      <c r="AG10" s="3" t="s">
        <v>155</v>
      </c>
      <c r="AH10" s="3" t="s">
        <v>46</v>
      </c>
      <c r="AI10" s="3" t="s">
        <v>46</v>
      </c>
      <c r="AJ10" s="3" t="s">
        <v>46</v>
      </c>
      <c r="AK10" s="3" t="s">
        <v>46</v>
      </c>
      <c r="AL10" s="3" t="s">
        <v>46</v>
      </c>
    </row>
    <row r="11" s="2" customFormat="true" ht="15" hidden="false" customHeight="false" outlineLevel="0" collapsed="false">
      <c r="B11" s="2" t="str">
        <f aca="false">HYPERLINK("https://genome.ucsc.edu/cgi-bin/hgTracks?db=hg19&amp;position=chr1%3A211652382%2D211652382", "chr1:211652382")</f>
        <v>chr1:211652382</v>
      </c>
      <c r="C11" s="2" t="s">
        <v>71</v>
      </c>
      <c r="D11" s="2" t="n">
        <v>211652382</v>
      </c>
      <c r="E11" s="2" t="n">
        <v>211652382</v>
      </c>
      <c r="F11" s="2" t="s">
        <v>39</v>
      </c>
      <c r="G11" s="2" t="s">
        <v>72</v>
      </c>
      <c r="H11" s="2" t="s">
        <v>156</v>
      </c>
      <c r="I11" s="2" t="s">
        <v>157</v>
      </c>
      <c r="J11" s="2" t="s">
        <v>158</v>
      </c>
      <c r="K11" s="2" t="s">
        <v>159</v>
      </c>
      <c r="L11" s="2" t="str">
        <f aca="false">HYPERLINK("https://www.ncbi.nlm.nih.gov/snp/rs143207434", "rs143207434")</f>
        <v>rs143207434</v>
      </c>
      <c r="M11" s="2" t="str">
        <f aca="false">HYPERLINK("https://www.genecards.org/Search/Keyword?queryString=%5Baliases%5D(%20RD3%20)&amp;keywords=RD3", "RD3")</f>
        <v>RD3</v>
      </c>
      <c r="N11" s="2" t="s">
        <v>77</v>
      </c>
      <c r="O11" s="2" t="s">
        <v>78</v>
      </c>
      <c r="P11" s="2" t="s">
        <v>160</v>
      </c>
      <c r="Q11" s="2" t="n">
        <v>0.0299</v>
      </c>
      <c r="R11" s="2" t="n">
        <v>0.0231</v>
      </c>
      <c r="S11" s="2" t="n">
        <v>0.0209</v>
      </c>
      <c r="T11" s="2" t="n">
        <v>-1</v>
      </c>
      <c r="U11" s="2" t="n">
        <v>0.0336</v>
      </c>
      <c r="V11" s="2" t="s">
        <v>161</v>
      </c>
      <c r="W11" s="2" t="s">
        <v>46</v>
      </c>
      <c r="X11" s="2" t="s">
        <v>46</v>
      </c>
      <c r="Y11" s="2" t="s">
        <v>46</v>
      </c>
      <c r="Z11" s="2" t="s">
        <v>104</v>
      </c>
      <c r="AA11" s="2" t="s">
        <v>117</v>
      </c>
      <c r="AB11" s="2" t="s">
        <v>65</v>
      </c>
      <c r="AC11" s="2" t="s">
        <v>52</v>
      </c>
      <c r="AD11" s="2" t="s">
        <v>53</v>
      </c>
      <c r="AE11" s="2" t="s">
        <v>162</v>
      </c>
      <c r="AF11" s="2" t="s">
        <v>163</v>
      </c>
      <c r="AG11" s="2" t="s">
        <v>46</v>
      </c>
      <c r="AH11" s="2" t="s">
        <v>46</v>
      </c>
      <c r="AI11" s="2" t="s">
        <v>46</v>
      </c>
      <c r="AJ11" s="2" t="s">
        <v>46</v>
      </c>
      <c r="AK11" s="2" t="s">
        <v>46</v>
      </c>
      <c r="AL11" s="2" t="s">
        <v>46</v>
      </c>
    </row>
    <row r="12" s="2" customFormat="true" ht="15" hidden="false" customHeight="false" outlineLevel="0" collapsed="false">
      <c r="B12" s="2" t="str">
        <f aca="false">HYPERLINK("https://genome.ucsc.edu/cgi-bin/hgTracks?db=hg19&amp;position=chr19%3A10488926%2D10488926", "chr19:10488926")</f>
        <v>chr19:10488926</v>
      </c>
      <c r="C12" s="2" t="s">
        <v>38</v>
      </c>
      <c r="D12" s="2" t="n">
        <v>10488926</v>
      </c>
      <c r="E12" s="2" t="n">
        <v>10488926</v>
      </c>
      <c r="F12" s="2" t="s">
        <v>40</v>
      </c>
      <c r="G12" s="2" t="s">
        <v>39</v>
      </c>
      <c r="H12" s="2" t="s">
        <v>164</v>
      </c>
      <c r="I12" s="2" t="s">
        <v>165</v>
      </c>
      <c r="J12" s="2" t="s">
        <v>166</v>
      </c>
      <c r="K12" s="2" t="s">
        <v>167</v>
      </c>
      <c r="L12" s="2" t="str">
        <f aca="false">HYPERLINK("https://www.ncbi.nlm.nih.gov/snp/rs55762744", "rs55762744")</f>
        <v>rs55762744</v>
      </c>
      <c r="M12" s="2" t="str">
        <f aca="false">HYPERLINK("https://www.genecards.org/Search/Keyword?queryString=%5Baliases%5D(%20TYK2%20)&amp;keywords=TYK2", "TYK2")</f>
        <v>TYK2</v>
      </c>
      <c r="N12" s="2" t="s">
        <v>77</v>
      </c>
      <c r="O12" s="2" t="s">
        <v>78</v>
      </c>
      <c r="P12" s="2" t="s">
        <v>168</v>
      </c>
      <c r="Q12" s="2" t="n">
        <v>0.025862</v>
      </c>
      <c r="R12" s="2" t="n">
        <v>0.0118</v>
      </c>
      <c r="S12" s="2" t="n">
        <v>0.011</v>
      </c>
      <c r="T12" s="2" t="n">
        <v>-1</v>
      </c>
      <c r="U12" s="2" t="n">
        <v>0.0107</v>
      </c>
      <c r="V12" s="2" t="s">
        <v>169</v>
      </c>
      <c r="W12" s="2" t="s">
        <v>46</v>
      </c>
      <c r="X12" s="2" t="s">
        <v>46</v>
      </c>
      <c r="Y12" s="2" t="s">
        <v>46</v>
      </c>
      <c r="Z12" s="2" t="s">
        <v>104</v>
      </c>
      <c r="AA12" s="2" t="s">
        <v>117</v>
      </c>
      <c r="AB12" s="2" t="s">
        <v>81</v>
      </c>
      <c r="AC12" s="2" t="s">
        <v>52</v>
      </c>
      <c r="AD12" s="2" t="s">
        <v>53</v>
      </c>
      <c r="AE12" s="2" t="s">
        <v>170</v>
      </c>
      <c r="AF12" s="2" t="s">
        <v>171</v>
      </c>
      <c r="AG12" s="2" t="s">
        <v>172</v>
      </c>
      <c r="AH12" s="2" t="s">
        <v>173</v>
      </c>
      <c r="AI12" s="2" t="s">
        <v>46</v>
      </c>
      <c r="AJ12" s="2" t="s">
        <v>46</v>
      </c>
      <c r="AK12" s="2" t="s">
        <v>46</v>
      </c>
      <c r="AL12" s="2" t="s">
        <v>46</v>
      </c>
    </row>
    <row r="13" customFormat="false" ht="15" hidden="false" customHeight="false" outlineLevel="0" collapsed="false">
      <c r="A13" s="2" t="s">
        <v>70</v>
      </c>
      <c r="B13" s="2" t="str">
        <f aca="false">HYPERLINK("https://genome.ucsc.edu/cgi-bin/hgTracks?db=hg19&amp;position=chr21%3A44483184%2D44483184", "chr21:44483184")</f>
        <v>chr21:44483184</v>
      </c>
      <c r="C13" s="2" t="s">
        <v>174</v>
      </c>
      <c r="D13" s="2" t="n">
        <v>44483184</v>
      </c>
      <c r="E13" s="2" t="n">
        <v>44483184</v>
      </c>
      <c r="F13" s="2" t="s">
        <v>72</v>
      </c>
      <c r="G13" s="2" t="s">
        <v>58</v>
      </c>
      <c r="H13" s="2" t="s">
        <v>175</v>
      </c>
      <c r="I13" s="2" t="s">
        <v>176</v>
      </c>
      <c r="J13" s="2" t="s">
        <v>177</v>
      </c>
      <c r="K13" s="2" t="s">
        <v>178</v>
      </c>
      <c r="L13" s="2" t="str">
        <f aca="false">HYPERLINK("https://www.ncbi.nlm.nih.gov/snp/rs5742905", "rs5742905")</f>
        <v>rs5742905</v>
      </c>
      <c r="M13" s="2" t="str">
        <f aca="false">HYPERLINK("https://www.genecards.org/Search/Keyword?queryString=%5Baliases%5D(%20CBS%20)%20OR%20%5Baliases%5D(%20CBSL%20)&amp;keywords=CBS,CBSL", "CBS;CBSL")</f>
        <v>CBS;CBSL</v>
      </c>
      <c r="N13" s="2" t="s">
        <v>77</v>
      </c>
      <c r="O13" s="2" t="s">
        <v>78</v>
      </c>
      <c r="P13" s="2" t="s">
        <v>179</v>
      </c>
      <c r="Q13" s="2" t="n">
        <v>0.020202</v>
      </c>
      <c r="R13" s="2" t="n">
        <v>0.0011</v>
      </c>
      <c r="S13" s="2" t="n">
        <v>0.0015</v>
      </c>
      <c r="T13" s="2" t="n">
        <v>-1</v>
      </c>
      <c r="U13" s="2" t="n">
        <v>0.0009</v>
      </c>
      <c r="V13" s="2" t="s">
        <v>180</v>
      </c>
      <c r="W13" s="2" t="s">
        <v>46</v>
      </c>
      <c r="X13" s="2" t="s">
        <v>46</v>
      </c>
      <c r="Y13" s="2" t="s">
        <v>46</v>
      </c>
      <c r="Z13" s="2" t="s">
        <v>129</v>
      </c>
      <c r="AA13" s="2" t="s">
        <v>181</v>
      </c>
      <c r="AB13" s="2" t="s">
        <v>181</v>
      </c>
      <c r="AC13" s="2" t="s">
        <v>52</v>
      </c>
      <c r="AD13" s="2" t="s">
        <v>182</v>
      </c>
      <c r="AE13" s="2" t="s">
        <v>183</v>
      </c>
      <c r="AF13" s="2" t="s">
        <v>184</v>
      </c>
      <c r="AG13" s="2" t="s">
        <v>185</v>
      </c>
      <c r="AH13" s="2" t="s">
        <v>46</v>
      </c>
      <c r="AI13" s="2" t="s">
        <v>46</v>
      </c>
      <c r="AJ13" s="2" t="s">
        <v>46</v>
      </c>
      <c r="AK13" s="2" t="s">
        <v>46</v>
      </c>
      <c r="AL13" s="2" t="s">
        <v>46</v>
      </c>
    </row>
    <row r="14" s="2" customFormat="true" ht="15" hidden="false" customHeight="false" outlineLevel="0" collapsed="false">
      <c r="B14" s="2" t="str">
        <f aca="false">HYPERLINK("https://genome.ucsc.edu/cgi-bin/hgTracks?db=hg19&amp;position=chr4%3A38798294%2D38798294", "chr4:38798294")</f>
        <v>chr4:38798294</v>
      </c>
      <c r="C14" s="2" t="s">
        <v>186</v>
      </c>
      <c r="D14" s="2" t="n">
        <v>38798294</v>
      </c>
      <c r="E14" s="2" t="n">
        <v>38798294</v>
      </c>
      <c r="F14" s="2" t="s">
        <v>39</v>
      </c>
      <c r="G14" s="2" t="s">
        <v>58</v>
      </c>
      <c r="H14" s="2" t="s">
        <v>187</v>
      </c>
      <c r="I14" s="2" t="s">
        <v>188</v>
      </c>
      <c r="J14" s="2" t="s">
        <v>189</v>
      </c>
      <c r="K14" s="2" t="s">
        <v>190</v>
      </c>
      <c r="L14" s="2" t="str">
        <f aca="false">HYPERLINK("https://www.ncbi.nlm.nih.gov/snp/rs113706342", "rs113706342")</f>
        <v>rs113706342</v>
      </c>
      <c r="M14" s="2" t="str">
        <f aca="false">HYPERLINK("https://www.genecards.org/Search/Keyword?queryString=%5Baliases%5D(%20TLR1%20)&amp;keywords=TLR1", "TLR1")</f>
        <v>TLR1</v>
      </c>
      <c r="N14" s="2" t="s">
        <v>77</v>
      </c>
      <c r="O14" s="2" t="s">
        <v>78</v>
      </c>
      <c r="P14" s="2" t="s">
        <v>191</v>
      </c>
      <c r="Q14" s="2" t="n">
        <v>0.0103</v>
      </c>
      <c r="R14" s="2" t="n">
        <v>0.0093</v>
      </c>
      <c r="S14" s="2" t="n">
        <v>0.009</v>
      </c>
      <c r="T14" s="2" t="n">
        <v>-1</v>
      </c>
      <c r="U14" s="2" t="n">
        <v>0.011</v>
      </c>
      <c r="V14" s="2" t="s">
        <v>161</v>
      </c>
      <c r="W14" s="2" t="s">
        <v>46</v>
      </c>
      <c r="X14" s="2" t="s">
        <v>46</v>
      </c>
      <c r="Y14" s="2" t="s">
        <v>46</v>
      </c>
      <c r="Z14" s="2" t="s">
        <v>51</v>
      </c>
      <c r="AA14" s="2" t="s">
        <v>105</v>
      </c>
      <c r="AB14" s="2" t="s">
        <v>46</v>
      </c>
      <c r="AC14" s="2" t="s">
        <v>52</v>
      </c>
      <c r="AD14" s="2" t="s">
        <v>53</v>
      </c>
      <c r="AE14" s="2" t="s">
        <v>192</v>
      </c>
      <c r="AF14" s="2" t="s">
        <v>193</v>
      </c>
      <c r="AG14" s="2" t="s">
        <v>194</v>
      </c>
      <c r="AH14" s="2" t="s">
        <v>46</v>
      </c>
      <c r="AI14" s="2" t="s">
        <v>46</v>
      </c>
      <c r="AJ14" s="2" t="s">
        <v>46</v>
      </c>
      <c r="AK14" s="2" t="s">
        <v>46</v>
      </c>
      <c r="AL14" s="2" t="s">
        <v>195</v>
      </c>
    </row>
    <row r="15" s="2" customFormat="true" ht="15" hidden="false" customHeight="false" outlineLevel="0" collapsed="false">
      <c r="B15" s="2" t="str">
        <f aca="false">HYPERLINK("https://genome.ucsc.edu/cgi-bin/hgTracks?db=hg19&amp;position=chr1%3A24201711%2D24201711", "chr1:24201711")</f>
        <v>chr1:24201711</v>
      </c>
      <c r="C15" s="2" t="s">
        <v>71</v>
      </c>
      <c r="D15" s="2" t="n">
        <v>24201711</v>
      </c>
      <c r="E15" s="2" t="n">
        <v>24201711</v>
      </c>
      <c r="F15" s="2" t="s">
        <v>58</v>
      </c>
      <c r="G15" s="2" t="s">
        <v>39</v>
      </c>
      <c r="H15" s="2" t="s">
        <v>196</v>
      </c>
      <c r="I15" s="2" t="s">
        <v>197</v>
      </c>
      <c r="J15" s="2" t="s">
        <v>198</v>
      </c>
      <c r="K15" s="2" t="s">
        <v>199</v>
      </c>
      <c r="L15" s="2" t="str">
        <f aca="false">HYPERLINK("https://www.ncbi.nlm.nih.gov/snp/rs41311993", "rs41311993")</f>
        <v>rs41311993</v>
      </c>
      <c r="M15" s="2" t="str">
        <f aca="false">HYPERLINK("https://www.genecards.org/Search/Keyword?queryString=%5Baliases%5D(%20CNR2%20)&amp;keywords=CNR2", "CNR2")</f>
        <v>CNR2</v>
      </c>
      <c r="N15" s="2" t="s">
        <v>77</v>
      </c>
      <c r="O15" s="2" t="s">
        <v>78</v>
      </c>
      <c r="P15" s="2" t="s">
        <v>200</v>
      </c>
      <c r="Q15" s="2" t="n">
        <v>0.0172</v>
      </c>
      <c r="R15" s="2" t="n">
        <v>0.0039</v>
      </c>
      <c r="S15" s="2" t="n">
        <v>0.0037</v>
      </c>
      <c r="T15" s="2" t="n">
        <v>-1</v>
      </c>
      <c r="U15" s="2" t="n">
        <v>0.0018</v>
      </c>
      <c r="V15" s="2" t="s">
        <v>201</v>
      </c>
      <c r="W15" s="2" t="s">
        <v>46</v>
      </c>
      <c r="X15" s="2" t="s">
        <v>46</v>
      </c>
      <c r="Y15" s="2" t="s">
        <v>46</v>
      </c>
      <c r="Z15" s="2" t="s">
        <v>92</v>
      </c>
      <c r="AA15" s="2" t="s">
        <v>105</v>
      </c>
      <c r="AB15" s="2" t="s">
        <v>46</v>
      </c>
      <c r="AC15" s="2" t="s">
        <v>52</v>
      </c>
      <c r="AD15" s="2" t="s">
        <v>53</v>
      </c>
      <c r="AE15" s="2" t="s">
        <v>202</v>
      </c>
      <c r="AF15" s="2" t="s">
        <v>203</v>
      </c>
      <c r="AG15" s="2" t="s">
        <v>204</v>
      </c>
      <c r="AH15" s="2" t="s">
        <v>46</v>
      </c>
      <c r="AI15" s="2" t="s">
        <v>46</v>
      </c>
      <c r="AJ15" s="2" t="s">
        <v>46</v>
      </c>
      <c r="AK15" s="2" t="s">
        <v>46</v>
      </c>
      <c r="AL15" s="2" t="s">
        <v>46</v>
      </c>
    </row>
    <row r="16" s="2" customFormat="true" ht="15" hidden="false" customHeight="false" outlineLevel="0" collapsed="false">
      <c r="B16" s="2" t="str">
        <f aca="false">HYPERLINK("https://genome.ucsc.edu/cgi-bin/hgTracks?db=hg19&amp;position=chr1%3A26517811%2D26517811", "chr1:26517811")</f>
        <v>chr1:26517811</v>
      </c>
      <c r="C16" s="2" t="s">
        <v>71</v>
      </c>
      <c r="D16" s="2" t="n">
        <v>26517811</v>
      </c>
      <c r="E16" s="2" t="n">
        <v>26517811</v>
      </c>
      <c r="F16" s="2" t="s">
        <v>72</v>
      </c>
      <c r="G16" s="2" t="s">
        <v>58</v>
      </c>
      <c r="H16" s="2" t="s">
        <v>205</v>
      </c>
      <c r="I16" s="2" t="s">
        <v>206</v>
      </c>
      <c r="J16" s="2" t="s">
        <v>207</v>
      </c>
      <c r="K16" s="2" t="s">
        <v>208</v>
      </c>
      <c r="L16" s="2" t="str">
        <f aca="false">HYPERLINK("https://www.ncbi.nlm.nih.gov/snp/rs142583631", "rs142583631")</f>
        <v>rs142583631</v>
      </c>
      <c r="M16" s="2" t="str">
        <f aca="false">HYPERLINK("https://www.genecards.org/Search/Keyword?queryString=%5Baliases%5D(%20CATSPER4%20)&amp;keywords=CATSPER4", "CATSPER4")</f>
        <v>CATSPER4</v>
      </c>
      <c r="N16" s="2" t="s">
        <v>77</v>
      </c>
      <c r="O16" s="2" t="s">
        <v>78</v>
      </c>
      <c r="P16" s="2" t="s">
        <v>209</v>
      </c>
      <c r="Q16" s="2" t="n">
        <v>0.0276</v>
      </c>
      <c r="R16" s="2" t="n">
        <v>0.007</v>
      </c>
      <c r="S16" s="2" t="n">
        <v>0.0072</v>
      </c>
      <c r="T16" s="2" t="n">
        <v>-1</v>
      </c>
      <c r="U16" s="2" t="n">
        <v>0.0081</v>
      </c>
      <c r="V16" s="2" t="s">
        <v>128</v>
      </c>
      <c r="W16" s="2" t="s">
        <v>46</v>
      </c>
      <c r="X16" s="2" t="s">
        <v>46</v>
      </c>
      <c r="Y16" s="2" t="s">
        <v>46</v>
      </c>
      <c r="Z16" s="2" t="s">
        <v>51</v>
      </c>
      <c r="AA16" s="2" t="s">
        <v>105</v>
      </c>
      <c r="AB16" s="2" t="s">
        <v>46</v>
      </c>
      <c r="AC16" s="2" t="s">
        <v>52</v>
      </c>
      <c r="AD16" s="2" t="s">
        <v>53</v>
      </c>
      <c r="AE16" s="2" t="s">
        <v>210</v>
      </c>
      <c r="AF16" s="2" t="s">
        <v>211</v>
      </c>
      <c r="AG16" s="2" t="s">
        <v>212</v>
      </c>
      <c r="AH16" s="2" t="s">
        <v>46</v>
      </c>
      <c r="AI16" s="2" t="s">
        <v>46</v>
      </c>
      <c r="AJ16" s="2" t="s">
        <v>46</v>
      </c>
      <c r="AK16" s="2" t="s">
        <v>46</v>
      </c>
      <c r="AL16" s="2" t="s">
        <v>46</v>
      </c>
    </row>
    <row r="17" s="2" customFormat="true" ht="15" hidden="false" customHeight="false" outlineLevel="0" collapsed="false">
      <c r="B17" s="2" t="str">
        <f aca="false">HYPERLINK("https://genome.ucsc.edu/cgi-bin/hgTracks?db=hg19&amp;position=chr20%3A32883308%2D32883308", "chr20:32883308")</f>
        <v>chr20:32883308</v>
      </c>
      <c r="C17" s="2" t="s">
        <v>213</v>
      </c>
      <c r="D17" s="2" t="n">
        <v>32883308</v>
      </c>
      <c r="E17" s="2" t="n">
        <v>32883308</v>
      </c>
      <c r="F17" s="2" t="s">
        <v>58</v>
      </c>
      <c r="G17" s="2" t="s">
        <v>72</v>
      </c>
      <c r="H17" s="2" t="s">
        <v>214</v>
      </c>
      <c r="I17" s="2" t="s">
        <v>215</v>
      </c>
      <c r="J17" s="2" t="s">
        <v>216</v>
      </c>
      <c r="K17" s="2" t="s">
        <v>217</v>
      </c>
      <c r="L17" s="2" t="str">
        <f aca="false">HYPERLINK("https://www.ncbi.nlm.nih.gov/snp/rs13043752", "rs13043752")</f>
        <v>rs13043752</v>
      </c>
      <c r="M17" s="2" t="str">
        <f aca="false">HYPERLINK("https://www.genecards.org/Search/Keyword?queryString=%5Baliases%5D(%20AHCY%20)&amp;keywords=AHCY", "AHCY")</f>
        <v>AHCY</v>
      </c>
      <c r="N17" s="2" t="s">
        <v>77</v>
      </c>
      <c r="O17" s="2" t="s">
        <v>78</v>
      </c>
      <c r="P17" s="2" t="s">
        <v>218</v>
      </c>
      <c r="Q17" s="2" t="n">
        <v>0.023392</v>
      </c>
      <c r="R17" s="2" t="n">
        <v>0.0237</v>
      </c>
      <c r="S17" s="2" t="n">
        <v>0.023</v>
      </c>
      <c r="T17" s="2" t="n">
        <v>-1</v>
      </c>
      <c r="U17" s="2" t="n">
        <v>0.0256</v>
      </c>
      <c r="V17" s="2" t="s">
        <v>219</v>
      </c>
      <c r="W17" s="2" t="s">
        <v>46</v>
      </c>
      <c r="X17" s="2" t="s">
        <v>46</v>
      </c>
      <c r="Y17" s="2" t="s">
        <v>46</v>
      </c>
      <c r="Z17" s="2" t="s">
        <v>129</v>
      </c>
      <c r="AA17" s="2" t="s">
        <v>105</v>
      </c>
      <c r="AB17" s="2" t="s">
        <v>81</v>
      </c>
      <c r="AC17" s="2" t="s">
        <v>52</v>
      </c>
      <c r="AD17" s="2" t="s">
        <v>53</v>
      </c>
      <c r="AE17" s="2" t="s">
        <v>220</v>
      </c>
      <c r="AF17" s="2" t="s">
        <v>221</v>
      </c>
      <c r="AG17" s="2" t="s">
        <v>222</v>
      </c>
      <c r="AH17" s="2" t="s">
        <v>223</v>
      </c>
      <c r="AI17" s="2" t="s">
        <v>46</v>
      </c>
      <c r="AJ17" s="2" t="s">
        <v>46</v>
      </c>
      <c r="AK17" s="2" t="s">
        <v>46</v>
      </c>
      <c r="AL17" s="2" t="s">
        <v>46</v>
      </c>
    </row>
    <row r="18" s="2" customFormat="true" ht="15" hidden="false" customHeight="false" outlineLevel="0" collapsed="false">
      <c r="B18" s="2" t="str">
        <f aca="false">HYPERLINK("https://genome.ucsc.edu/cgi-bin/hgTracks?db=hg19&amp;position=chr19%3A41858864%2D41858864", "chr19:41858864")</f>
        <v>chr19:41858864</v>
      </c>
      <c r="C18" s="2" t="s">
        <v>38</v>
      </c>
      <c r="D18" s="2" t="n">
        <v>41858864</v>
      </c>
      <c r="E18" s="2" t="n">
        <v>41858864</v>
      </c>
      <c r="F18" s="2" t="s">
        <v>40</v>
      </c>
      <c r="G18" s="2" t="s">
        <v>58</v>
      </c>
      <c r="H18" s="2" t="s">
        <v>224</v>
      </c>
      <c r="I18" s="2" t="s">
        <v>225</v>
      </c>
      <c r="J18" s="2" t="s">
        <v>226</v>
      </c>
      <c r="K18" s="2" t="s">
        <v>227</v>
      </c>
      <c r="L18" s="2" t="str">
        <f aca="false">HYPERLINK("https://www.ncbi.nlm.nih.gov/snp/rs199758510", "rs199758510")</f>
        <v>rs199758510</v>
      </c>
      <c r="M18" s="2" t="str">
        <f aca="false">HYPERLINK("https://www.genecards.org/Search/Keyword?queryString=%5Baliases%5D(%20TGFB1%20)&amp;keywords=TGFB1", "TGFB1")</f>
        <v>TGFB1</v>
      </c>
      <c r="N18" s="2" t="s">
        <v>77</v>
      </c>
      <c r="O18" s="2" t="s">
        <v>78</v>
      </c>
      <c r="P18" s="2" t="s">
        <v>228</v>
      </c>
      <c r="Q18" s="2" t="n">
        <v>0.0005</v>
      </c>
      <c r="R18" s="2" t="n">
        <v>0.0005</v>
      </c>
      <c r="S18" s="2" t="n">
        <v>0.0004</v>
      </c>
      <c r="T18" s="2" t="n">
        <v>-1</v>
      </c>
      <c r="U18" s="2" t="n">
        <v>0.0005</v>
      </c>
      <c r="V18" s="2" t="s">
        <v>229</v>
      </c>
      <c r="W18" s="2" t="s">
        <v>46</v>
      </c>
      <c r="X18" s="2" t="s">
        <v>46</v>
      </c>
      <c r="Y18" s="2" t="s">
        <v>46</v>
      </c>
      <c r="Z18" s="2" t="s">
        <v>104</v>
      </c>
      <c r="AA18" s="2" t="s">
        <v>105</v>
      </c>
      <c r="AB18" s="2" t="s">
        <v>46</v>
      </c>
      <c r="AC18" s="2" t="s">
        <v>52</v>
      </c>
      <c r="AD18" s="2" t="s">
        <v>53</v>
      </c>
      <c r="AE18" s="2" t="s">
        <v>230</v>
      </c>
      <c r="AF18" s="2" t="s">
        <v>231</v>
      </c>
      <c r="AG18" s="2" t="s">
        <v>232</v>
      </c>
      <c r="AH18" s="2" t="s">
        <v>233</v>
      </c>
      <c r="AI18" s="2" t="s">
        <v>46</v>
      </c>
      <c r="AJ18" s="2" t="s">
        <v>46</v>
      </c>
      <c r="AK18" s="2" t="s">
        <v>46</v>
      </c>
      <c r="AL18" s="2" t="s">
        <v>46</v>
      </c>
    </row>
    <row r="19" s="2" customFormat="true" ht="15" hidden="false" customHeight="false" outlineLevel="0" collapsed="false">
      <c r="B19" s="2" t="str">
        <f aca="false">HYPERLINK("https://genome.ucsc.edu/cgi-bin/hgTracks?db=hg19&amp;position=chr22%3A43032738%2D43032738", "chr22:43032738")</f>
        <v>chr22:43032738</v>
      </c>
      <c r="C19" s="2" t="s">
        <v>234</v>
      </c>
      <c r="D19" s="2" t="n">
        <v>43032738</v>
      </c>
      <c r="E19" s="2" t="n">
        <v>43032738</v>
      </c>
      <c r="F19" s="2" t="s">
        <v>58</v>
      </c>
      <c r="G19" s="2" t="s">
        <v>72</v>
      </c>
      <c r="H19" s="2" t="s">
        <v>235</v>
      </c>
      <c r="I19" s="2" t="s">
        <v>236</v>
      </c>
      <c r="J19" s="2" t="s">
        <v>237</v>
      </c>
      <c r="K19" s="2" t="s">
        <v>238</v>
      </c>
      <c r="L19" s="2" t="str">
        <f aca="false">HYPERLINK("https://www.ncbi.nlm.nih.gov/snp/rs753499270", "rs753499270")</f>
        <v>rs753499270</v>
      </c>
      <c r="M19" s="2" t="str">
        <f aca="false">HYPERLINK("https://www.genecards.org/Search/Keyword?queryString=%5Baliases%5D(%20CYB5R3%20)&amp;keywords=CYB5R3", "CYB5R3")</f>
        <v>CYB5R3</v>
      </c>
      <c r="N19" s="2" t="s">
        <v>77</v>
      </c>
      <c r="O19" s="2" t="s">
        <v>78</v>
      </c>
      <c r="P19" s="2" t="s">
        <v>239</v>
      </c>
      <c r="Q19" s="2" t="n">
        <v>0.0001</v>
      </c>
      <c r="R19" s="2" t="n">
        <v>0.0001</v>
      </c>
      <c r="S19" s="2" t="n">
        <v>0.0003</v>
      </c>
      <c r="T19" s="2" t="n">
        <v>-1</v>
      </c>
      <c r="U19" s="2" t="n">
        <v>0.0004</v>
      </c>
      <c r="V19" s="2" t="s">
        <v>240</v>
      </c>
      <c r="W19" s="2" t="s">
        <v>46</v>
      </c>
      <c r="X19" s="2" t="s">
        <v>46</v>
      </c>
      <c r="Y19" s="2" t="s">
        <v>46</v>
      </c>
      <c r="Z19" s="2" t="s">
        <v>51</v>
      </c>
      <c r="AA19" s="2" t="s">
        <v>105</v>
      </c>
      <c r="AB19" s="2" t="s">
        <v>46</v>
      </c>
      <c r="AC19" s="2" t="s">
        <v>52</v>
      </c>
      <c r="AD19" s="2" t="s">
        <v>53</v>
      </c>
      <c r="AE19" s="2" t="s">
        <v>241</v>
      </c>
      <c r="AF19" s="2" t="s">
        <v>242</v>
      </c>
      <c r="AG19" s="2" t="s">
        <v>243</v>
      </c>
      <c r="AH19" s="2" t="s">
        <v>244</v>
      </c>
      <c r="AI19" s="2" t="s">
        <v>46</v>
      </c>
      <c r="AJ19" s="2" t="s">
        <v>46</v>
      </c>
      <c r="AK19" s="2" t="s">
        <v>46</v>
      </c>
      <c r="AL19" s="2" t="s">
        <v>46</v>
      </c>
    </row>
    <row r="20" s="2" customFormat="true" ht="15" hidden="false" customHeight="false" outlineLevel="0" collapsed="false">
      <c r="B20" s="2" t="str">
        <f aca="false">HYPERLINK("https://genome.ucsc.edu/cgi-bin/hgTracks?db=hg19&amp;position=chr2%3A149226894%2D149226894", "chr2:149226894")</f>
        <v>chr2:149226894</v>
      </c>
      <c r="C20" s="2" t="s">
        <v>122</v>
      </c>
      <c r="D20" s="2" t="n">
        <v>149226894</v>
      </c>
      <c r="E20" s="2" t="n">
        <v>149226894</v>
      </c>
      <c r="F20" s="2" t="s">
        <v>58</v>
      </c>
      <c r="G20" s="2" t="s">
        <v>72</v>
      </c>
      <c r="H20" s="2" t="s">
        <v>245</v>
      </c>
      <c r="I20" s="2" t="s">
        <v>246</v>
      </c>
      <c r="J20" s="2" t="s">
        <v>247</v>
      </c>
      <c r="K20" s="2" t="s">
        <v>248</v>
      </c>
      <c r="L20" s="2" t="str">
        <f aca="false">HYPERLINK("https://www.ncbi.nlm.nih.gov/snp/rs139964770", "rs139964770")</f>
        <v>rs139964770</v>
      </c>
      <c r="M20" s="2" t="str">
        <f aca="false">HYPERLINK("https://www.genecards.org/Search/Keyword?queryString=%5Baliases%5D(%20MBD5%20)&amp;keywords=MBD5", "MBD5")</f>
        <v>MBD5</v>
      </c>
      <c r="N20" s="2" t="s">
        <v>77</v>
      </c>
      <c r="O20" s="2" t="s">
        <v>78</v>
      </c>
      <c r="P20" s="2" t="s">
        <v>249</v>
      </c>
      <c r="Q20" s="2" t="n">
        <v>0.0026</v>
      </c>
      <c r="R20" s="2" t="n">
        <v>0.0032</v>
      </c>
      <c r="S20" s="2" t="n">
        <v>0.0027</v>
      </c>
      <c r="T20" s="2" t="n">
        <v>-1</v>
      </c>
      <c r="U20" s="2" t="n">
        <v>0.0054</v>
      </c>
      <c r="V20" s="2" t="s">
        <v>141</v>
      </c>
      <c r="W20" s="2" t="s">
        <v>46</v>
      </c>
      <c r="X20" s="2" t="s">
        <v>46</v>
      </c>
      <c r="Y20" s="2" t="s">
        <v>46</v>
      </c>
      <c r="Z20" s="2" t="s">
        <v>250</v>
      </c>
      <c r="AA20" s="2" t="s">
        <v>117</v>
      </c>
      <c r="AB20" s="2" t="s">
        <v>130</v>
      </c>
      <c r="AC20" s="2" t="s">
        <v>52</v>
      </c>
      <c r="AD20" s="2" t="s">
        <v>53</v>
      </c>
      <c r="AE20" s="2" t="s">
        <v>251</v>
      </c>
      <c r="AF20" s="2" t="s">
        <v>252</v>
      </c>
      <c r="AG20" s="2" t="s">
        <v>253</v>
      </c>
      <c r="AH20" s="2" t="s">
        <v>254</v>
      </c>
      <c r="AI20" s="2" t="s">
        <v>46</v>
      </c>
      <c r="AJ20" s="2" t="s">
        <v>46</v>
      </c>
      <c r="AK20" s="2" t="s">
        <v>46</v>
      </c>
      <c r="AL20" s="2" t="s">
        <v>46</v>
      </c>
    </row>
    <row r="21" s="2" customFormat="true" ht="15" hidden="false" customHeight="false" outlineLevel="0" collapsed="false">
      <c r="B21" s="2" t="str">
        <f aca="false">HYPERLINK("https://genome.ucsc.edu/cgi-bin/hgTracks?db=hg19&amp;position=chr6%3A51893107%2D51893107", "chr6:51893107")</f>
        <v>chr6:51893107</v>
      </c>
      <c r="C21" s="2" t="s">
        <v>255</v>
      </c>
      <c r="D21" s="2" t="n">
        <v>51893107</v>
      </c>
      <c r="E21" s="2" t="n">
        <v>51893107</v>
      </c>
      <c r="F21" s="2" t="s">
        <v>39</v>
      </c>
      <c r="G21" s="2" t="s">
        <v>40</v>
      </c>
      <c r="H21" s="2" t="s">
        <v>256</v>
      </c>
      <c r="I21" s="2" t="s">
        <v>257</v>
      </c>
      <c r="J21" s="2" t="s">
        <v>258</v>
      </c>
      <c r="K21" s="2" t="s">
        <v>259</v>
      </c>
      <c r="L21" s="2" t="str">
        <f aca="false">HYPERLINK("https://www.ncbi.nlm.nih.gov/snp/rs41273726", "rs41273726")</f>
        <v>rs41273726</v>
      </c>
      <c r="M21" s="2" t="str">
        <f aca="false">HYPERLINK("https://www.genecards.org/Search/Keyword?queryString=%5Baliases%5D(%20PKHD1%20)&amp;keywords=PKHD1", "PKHD1")</f>
        <v>PKHD1</v>
      </c>
      <c r="N21" s="2" t="s">
        <v>77</v>
      </c>
      <c r="O21" s="2" t="s">
        <v>78</v>
      </c>
      <c r="P21" s="2" t="s">
        <v>260</v>
      </c>
      <c r="Q21" s="2" t="n">
        <v>0.0241</v>
      </c>
      <c r="R21" s="2" t="n">
        <v>0.0275</v>
      </c>
      <c r="S21" s="2" t="n">
        <v>0.0215</v>
      </c>
      <c r="T21" s="2" t="n">
        <v>-1</v>
      </c>
      <c r="U21" s="2" t="n">
        <v>0.039</v>
      </c>
      <c r="V21" s="2" t="s">
        <v>80</v>
      </c>
      <c r="W21" s="2" t="s">
        <v>46</v>
      </c>
      <c r="X21" s="2" t="s">
        <v>46</v>
      </c>
      <c r="Y21" s="2" t="s">
        <v>46</v>
      </c>
      <c r="Z21" s="2" t="s">
        <v>104</v>
      </c>
      <c r="AA21" s="2" t="s">
        <v>81</v>
      </c>
      <c r="AB21" s="2" t="s">
        <v>65</v>
      </c>
      <c r="AC21" s="2" t="s">
        <v>52</v>
      </c>
      <c r="AD21" s="2" t="s">
        <v>53</v>
      </c>
      <c r="AE21" s="2" t="s">
        <v>261</v>
      </c>
      <c r="AF21" s="2" t="s">
        <v>262</v>
      </c>
      <c r="AG21" s="2" t="s">
        <v>263</v>
      </c>
      <c r="AH21" s="2" t="s">
        <v>46</v>
      </c>
      <c r="AI21" s="2" t="s">
        <v>46</v>
      </c>
      <c r="AJ21" s="2" t="s">
        <v>46</v>
      </c>
      <c r="AK21" s="2" t="s">
        <v>46</v>
      </c>
      <c r="AL21" s="2" t="s">
        <v>46</v>
      </c>
    </row>
    <row r="22" s="2" customFormat="true" ht="15" hidden="false" customHeight="false" outlineLevel="0" collapsed="false">
      <c r="B22" s="2" t="str">
        <f aca="false">HYPERLINK("https://genome.ucsc.edu/cgi-bin/hgTracks?db=hg19&amp;position=chr16%3A81411091%2D81411091", "chr16:81411091")</f>
        <v>chr16:81411091</v>
      </c>
      <c r="C22" s="2" t="s">
        <v>264</v>
      </c>
      <c r="D22" s="2" t="n">
        <v>81411091</v>
      </c>
      <c r="E22" s="2" t="n">
        <v>81411091</v>
      </c>
      <c r="F22" s="2" t="s">
        <v>40</v>
      </c>
      <c r="G22" s="2" t="s">
        <v>58</v>
      </c>
      <c r="H22" s="2" t="s">
        <v>265</v>
      </c>
      <c r="I22" s="2" t="s">
        <v>266</v>
      </c>
      <c r="J22" s="2" t="s">
        <v>267</v>
      </c>
      <c r="K22" s="2" t="s">
        <v>268</v>
      </c>
      <c r="L22" s="2" t="str">
        <f aca="false">HYPERLINK("https://www.ncbi.nlm.nih.gov/snp/rs79901179", "rs79901179")</f>
        <v>rs79901179</v>
      </c>
      <c r="M22" s="2" t="str">
        <f aca="false">HYPERLINK("https://www.genecards.org/Search/Keyword?queryString=%5Baliases%5D(%20GAN%20)&amp;keywords=GAN", "GAN")</f>
        <v>GAN</v>
      </c>
      <c r="N22" s="2" t="s">
        <v>77</v>
      </c>
      <c r="O22" s="2" t="s">
        <v>78</v>
      </c>
      <c r="P22" s="2" t="s">
        <v>269</v>
      </c>
      <c r="Q22" s="2" t="n">
        <v>0.0115</v>
      </c>
      <c r="R22" s="2" t="n">
        <v>0.0049</v>
      </c>
      <c r="S22" s="2" t="n">
        <v>0.0042</v>
      </c>
      <c r="T22" s="2" t="n">
        <v>-1</v>
      </c>
      <c r="U22" s="2" t="n">
        <v>0.0051</v>
      </c>
      <c r="V22" s="2" t="s">
        <v>250</v>
      </c>
      <c r="W22" s="2" t="s">
        <v>46</v>
      </c>
      <c r="X22" s="2" t="s">
        <v>46</v>
      </c>
      <c r="Y22" s="2" t="s">
        <v>46</v>
      </c>
      <c r="Z22" s="2" t="s">
        <v>270</v>
      </c>
      <c r="AA22" s="2" t="s">
        <v>81</v>
      </c>
      <c r="AB22" s="2" t="s">
        <v>130</v>
      </c>
      <c r="AC22" s="2" t="s">
        <v>52</v>
      </c>
      <c r="AD22" s="2" t="s">
        <v>53</v>
      </c>
      <c r="AE22" s="2" t="s">
        <v>271</v>
      </c>
      <c r="AF22" s="2" t="s">
        <v>272</v>
      </c>
      <c r="AG22" s="2" t="s">
        <v>273</v>
      </c>
      <c r="AH22" s="2" t="s">
        <v>274</v>
      </c>
      <c r="AI22" s="2" t="s">
        <v>46</v>
      </c>
      <c r="AJ22" s="2" t="s">
        <v>46</v>
      </c>
      <c r="AK22" s="2" t="s">
        <v>46</v>
      </c>
      <c r="AL22" s="2" t="s">
        <v>46</v>
      </c>
    </row>
    <row r="23" s="2" customFormat="true" ht="15" hidden="false" customHeight="false" outlineLevel="0" collapsed="false">
      <c r="B23" s="2" t="str">
        <f aca="false">HYPERLINK("https://genome.ucsc.edu/cgi-bin/hgTracks?db=hg19&amp;position=chr9%3A120475248%2D120475248", "chr9:120475248")</f>
        <v>chr9:120475248</v>
      </c>
      <c r="C23" s="2" t="s">
        <v>275</v>
      </c>
      <c r="D23" s="2" t="n">
        <v>120475248</v>
      </c>
      <c r="E23" s="2" t="n">
        <v>120475248</v>
      </c>
      <c r="F23" s="2" t="s">
        <v>58</v>
      </c>
      <c r="G23" s="2" t="s">
        <v>72</v>
      </c>
      <c r="H23" s="2" t="s">
        <v>276</v>
      </c>
      <c r="I23" s="2" t="s">
        <v>277</v>
      </c>
      <c r="J23" s="2" t="s">
        <v>278</v>
      </c>
      <c r="K23" s="2" t="s">
        <v>279</v>
      </c>
      <c r="L23" s="2" t="str">
        <f aca="false">HYPERLINK("https://www.ncbi.nlm.nih.gov/snp/rs137853920", "rs137853920")</f>
        <v>rs137853920</v>
      </c>
      <c r="M23" s="2" t="str">
        <f aca="false">HYPERLINK("https://www.genecards.org/Search/Keyword?queryString=%5Baliases%5D(%20TLR4%20)&amp;keywords=TLR4", "TLR4")</f>
        <v>TLR4</v>
      </c>
      <c r="N23" s="2" t="s">
        <v>77</v>
      </c>
      <c r="O23" s="2" t="s">
        <v>78</v>
      </c>
      <c r="P23" s="2" t="s">
        <v>280</v>
      </c>
      <c r="Q23" s="2" t="n">
        <v>0.0059</v>
      </c>
      <c r="R23" s="2" t="n">
        <v>0.0062</v>
      </c>
      <c r="S23" s="2" t="n">
        <v>0.0072</v>
      </c>
      <c r="T23" s="2" t="n">
        <v>-1</v>
      </c>
      <c r="U23" s="2" t="n">
        <v>0.0081</v>
      </c>
      <c r="V23" s="2" t="s">
        <v>128</v>
      </c>
      <c r="W23" s="2" t="s">
        <v>46</v>
      </c>
      <c r="X23" s="2" t="s">
        <v>46</v>
      </c>
      <c r="Y23" s="2" t="s">
        <v>46</v>
      </c>
      <c r="Z23" s="2" t="s">
        <v>129</v>
      </c>
      <c r="AA23" s="2" t="s">
        <v>105</v>
      </c>
      <c r="AB23" s="2" t="s">
        <v>281</v>
      </c>
      <c r="AC23" s="2" t="s">
        <v>52</v>
      </c>
      <c r="AD23" s="2" t="s">
        <v>53</v>
      </c>
      <c r="AE23" s="2" t="s">
        <v>282</v>
      </c>
      <c r="AF23" s="2" t="s">
        <v>283</v>
      </c>
      <c r="AG23" s="2" t="s">
        <v>284</v>
      </c>
      <c r="AH23" s="2" t="s">
        <v>285</v>
      </c>
      <c r="AI23" s="2" t="s">
        <v>46</v>
      </c>
      <c r="AJ23" s="2" t="s">
        <v>46</v>
      </c>
      <c r="AK23" s="2" t="s">
        <v>46</v>
      </c>
      <c r="AL23" s="2" t="s">
        <v>46</v>
      </c>
    </row>
    <row r="24" s="2" customFormat="true" ht="15" hidden="false" customHeight="false" outlineLevel="0" collapsed="false">
      <c r="B24" s="2" t="str">
        <f aca="false">HYPERLINK("https://genome.ucsc.edu/cgi-bin/hgTracks?db=hg19&amp;position=chr11%3A6415491%2D6415491", "chr11:6415491")</f>
        <v>chr11:6415491</v>
      </c>
      <c r="C24" s="2" t="s">
        <v>286</v>
      </c>
      <c r="D24" s="2" t="n">
        <v>6415491</v>
      </c>
      <c r="E24" s="2" t="n">
        <v>6415491</v>
      </c>
      <c r="F24" s="2" t="s">
        <v>72</v>
      </c>
      <c r="G24" s="2" t="s">
        <v>39</v>
      </c>
      <c r="H24" s="2" t="s">
        <v>287</v>
      </c>
      <c r="I24" s="2" t="s">
        <v>176</v>
      </c>
      <c r="J24" s="2" t="s">
        <v>288</v>
      </c>
      <c r="K24" s="2" t="s">
        <v>289</v>
      </c>
      <c r="L24" s="2" t="str">
        <f aca="false">HYPERLINK("https://www.ncbi.nlm.nih.gov/snp/rs142787001", "rs142787001")</f>
        <v>rs142787001</v>
      </c>
      <c r="M24" s="2" t="str">
        <f aca="false">HYPERLINK("https://www.genecards.org/Search/Keyword?queryString=%5Baliases%5D(%20SMPD1%20)&amp;keywords=SMPD1", "SMPD1")</f>
        <v>SMPD1</v>
      </c>
      <c r="N24" s="2" t="s">
        <v>77</v>
      </c>
      <c r="O24" s="2" t="s">
        <v>78</v>
      </c>
      <c r="P24" s="2" t="s">
        <v>290</v>
      </c>
      <c r="Q24" s="2" t="n">
        <v>0.020202</v>
      </c>
      <c r="R24" s="2" t="n">
        <v>0.0071</v>
      </c>
      <c r="S24" s="2" t="n">
        <v>0.0067</v>
      </c>
      <c r="T24" s="2" t="n">
        <v>-1</v>
      </c>
      <c r="U24" s="2" t="n">
        <v>0.0093</v>
      </c>
      <c r="V24" s="2" t="s">
        <v>291</v>
      </c>
      <c r="W24" s="2" t="s">
        <v>46</v>
      </c>
      <c r="X24" s="2" t="s">
        <v>46</v>
      </c>
      <c r="Y24" s="2" t="s">
        <v>46</v>
      </c>
      <c r="Z24" s="2" t="s">
        <v>92</v>
      </c>
      <c r="AA24" s="2" t="s">
        <v>105</v>
      </c>
      <c r="AB24" s="2" t="s">
        <v>130</v>
      </c>
      <c r="AC24" s="2" t="s">
        <v>52</v>
      </c>
      <c r="AD24" s="2" t="s">
        <v>53</v>
      </c>
      <c r="AE24" s="2" t="s">
        <v>292</v>
      </c>
      <c r="AF24" s="2" t="s">
        <v>293</v>
      </c>
      <c r="AG24" s="2" t="s">
        <v>294</v>
      </c>
      <c r="AH24" s="2" t="s">
        <v>295</v>
      </c>
      <c r="AI24" s="2" t="s">
        <v>46</v>
      </c>
      <c r="AJ24" s="2" t="s">
        <v>46</v>
      </c>
      <c r="AK24" s="2" t="s">
        <v>46</v>
      </c>
      <c r="AL24" s="2" t="s">
        <v>46</v>
      </c>
    </row>
    <row r="25" s="2" customFormat="true" ht="15" hidden="false" customHeight="false" outlineLevel="0" collapsed="false">
      <c r="B25" s="2" t="str">
        <f aca="false">HYPERLINK("https://genome.ucsc.edu/cgi-bin/hgTracks?db=hg19&amp;position=chr7%3A65548107%2D65548107", "chr7:65548107")</f>
        <v>chr7:65548107</v>
      </c>
      <c r="C25" s="2" t="s">
        <v>57</v>
      </c>
      <c r="D25" s="2" t="n">
        <v>65548107</v>
      </c>
      <c r="E25" s="2" t="n">
        <v>65548107</v>
      </c>
      <c r="F25" s="2" t="s">
        <v>40</v>
      </c>
      <c r="G25" s="2" t="s">
        <v>39</v>
      </c>
      <c r="H25" s="2" t="s">
        <v>296</v>
      </c>
      <c r="I25" s="2" t="s">
        <v>297</v>
      </c>
      <c r="J25" s="2" t="s">
        <v>298</v>
      </c>
      <c r="K25" s="2" t="s">
        <v>299</v>
      </c>
      <c r="L25" s="2" t="str">
        <f aca="false">HYPERLINK("https://www.ncbi.nlm.nih.gov/snp/rs143793815", "rs143793815")</f>
        <v>rs143793815</v>
      </c>
      <c r="M25" s="2" t="str">
        <f aca="false">HYPERLINK("https://www.genecards.org/Search/Keyword?queryString=%5Baliases%5D(%20ASL%20)&amp;keywords=ASL", "ASL")</f>
        <v>ASL</v>
      </c>
      <c r="N25" s="2" t="s">
        <v>77</v>
      </c>
      <c r="O25" s="2" t="s">
        <v>78</v>
      </c>
      <c r="P25" s="2" t="s">
        <v>300</v>
      </c>
      <c r="Q25" s="2" t="n">
        <v>0.018634</v>
      </c>
      <c r="R25" s="2" t="n">
        <v>0.0006</v>
      </c>
      <c r="S25" s="2" t="n">
        <v>0.0006</v>
      </c>
      <c r="T25" s="2" t="n">
        <v>-1</v>
      </c>
      <c r="U25" s="2" t="n">
        <v>0.0002</v>
      </c>
      <c r="V25" s="2" t="s">
        <v>80</v>
      </c>
      <c r="W25" s="2" t="s">
        <v>46</v>
      </c>
      <c r="X25" s="2" t="s">
        <v>46</v>
      </c>
      <c r="Y25" s="2" t="s">
        <v>46</v>
      </c>
      <c r="Z25" s="2" t="s">
        <v>104</v>
      </c>
      <c r="AA25" s="2" t="s">
        <v>81</v>
      </c>
      <c r="AB25" s="2" t="s">
        <v>65</v>
      </c>
      <c r="AC25" s="2" t="s">
        <v>52</v>
      </c>
      <c r="AD25" s="2" t="s">
        <v>53</v>
      </c>
      <c r="AE25" s="2" t="s">
        <v>301</v>
      </c>
      <c r="AF25" s="2" t="s">
        <v>302</v>
      </c>
      <c r="AG25" s="2" t="s">
        <v>46</v>
      </c>
      <c r="AH25" s="2" t="s">
        <v>303</v>
      </c>
      <c r="AI25" s="2" t="s">
        <v>46</v>
      </c>
      <c r="AJ25" s="2" t="s">
        <v>46</v>
      </c>
      <c r="AK25" s="2" t="s">
        <v>46</v>
      </c>
      <c r="AL25" s="2" t="s">
        <v>46</v>
      </c>
    </row>
    <row r="26" customFormat="false" ht="15" hidden="false" customHeight="false" outlineLevel="0" collapsed="false">
      <c r="A26" s="2" t="s">
        <v>70</v>
      </c>
      <c r="B26" s="2" t="str">
        <f aca="false">HYPERLINK("https://genome.ucsc.edu/cgi-bin/hgTracks?db=hg19&amp;position=chr12%3A103234271%2D103234271", "chr12:103234271")</f>
        <v>chr12:103234271</v>
      </c>
      <c r="C26" s="2" t="s">
        <v>145</v>
      </c>
      <c r="D26" s="2" t="n">
        <v>103234271</v>
      </c>
      <c r="E26" s="2" t="n">
        <v>103234271</v>
      </c>
      <c r="F26" s="2" t="s">
        <v>58</v>
      </c>
      <c r="G26" s="2" t="s">
        <v>72</v>
      </c>
      <c r="H26" s="2" t="s">
        <v>304</v>
      </c>
      <c r="I26" s="2" t="s">
        <v>266</v>
      </c>
      <c r="J26" s="2" t="s">
        <v>305</v>
      </c>
      <c r="K26" s="2" t="s">
        <v>306</v>
      </c>
      <c r="L26" s="2" t="str">
        <f aca="false">HYPERLINK("https://www.ncbi.nlm.nih.gov/snp/rs5030858", "rs5030858")</f>
        <v>rs5030858</v>
      </c>
      <c r="M26" s="2" t="str">
        <f aca="false">HYPERLINK("https://www.genecards.org/Search/Keyword?queryString=%5Baliases%5D(%20PAH%20)&amp;keywords=PAH", "PAH")</f>
        <v>PAH</v>
      </c>
      <c r="N26" s="2" t="s">
        <v>77</v>
      </c>
      <c r="O26" s="2" t="s">
        <v>78</v>
      </c>
      <c r="P26" s="2" t="s">
        <v>307</v>
      </c>
      <c r="Q26" s="2" t="n">
        <v>0.0035</v>
      </c>
      <c r="R26" s="2" t="n">
        <v>0.0045</v>
      </c>
      <c r="S26" s="2" t="n">
        <v>0.0036</v>
      </c>
      <c r="T26" s="2" t="n">
        <v>-1</v>
      </c>
      <c r="U26" s="2" t="n">
        <v>0.0074</v>
      </c>
      <c r="V26" s="2" t="s">
        <v>180</v>
      </c>
      <c r="W26" s="2" t="s">
        <v>46</v>
      </c>
      <c r="X26" s="2" t="s">
        <v>46</v>
      </c>
      <c r="Y26" s="2" t="s">
        <v>46</v>
      </c>
      <c r="Z26" s="2" t="s">
        <v>129</v>
      </c>
      <c r="AA26" s="2" t="s">
        <v>105</v>
      </c>
      <c r="AB26" s="2" t="s">
        <v>181</v>
      </c>
      <c r="AC26" s="2" t="s">
        <v>52</v>
      </c>
      <c r="AD26" s="2" t="s">
        <v>53</v>
      </c>
      <c r="AE26" s="2" t="s">
        <v>308</v>
      </c>
      <c r="AF26" s="2" t="s">
        <v>309</v>
      </c>
      <c r="AG26" s="2" t="s">
        <v>46</v>
      </c>
      <c r="AH26" s="2" t="s">
        <v>310</v>
      </c>
      <c r="AI26" s="2" t="s">
        <v>46</v>
      </c>
      <c r="AJ26" s="2" t="s">
        <v>46</v>
      </c>
      <c r="AK26" s="2" t="s">
        <v>46</v>
      </c>
      <c r="AL26" s="2" t="s">
        <v>46</v>
      </c>
    </row>
    <row r="27" s="2" customFormat="true" ht="15" hidden="false" customHeight="false" outlineLevel="0" collapsed="false">
      <c r="B27" s="2" t="str">
        <f aca="false">HYPERLINK("https://genome.ucsc.edu/cgi-bin/hgTracks?db=hg19&amp;position=chr10%3A89473069%2D89473069", "chr10:89473069")</f>
        <v>chr10:89473069</v>
      </c>
      <c r="C27" s="2" t="s">
        <v>311</v>
      </c>
      <c r="D27" s="2" t="n">
        <v>89473069</v>
      </c>
      <c r="E27" s="2" t="n">
        <v>89473069</v>
      </c>
      <c r="F27" s="2" t="s">
        <v>312</v>
      </c>
      <c r="G27" s="2" t="s">
        <v>313</v>
      </c>
      <c r="H27" s="2" t="s">
        <v>314</v>
      </c>
      <c r="I27" s="2" t="s">
        <v>315</v>
      </c>
      <c r="J27" s="2" t="s">
        <v>316</v>
      </c>
      <c r="K27" s="2" t="s">
        <v>317</v>
      </c>
      <c r="L27" s="2" t="str">
        <f aca="false">HYPERLINK("https://www.ncbi.nlm.nih.gov/snp/rs367885911", "rs367885911")</f>
        <v>rs367885911</v>
      </c>
      <c r="M27" s="2" t="str">
        <f aca="false">HYPERLINK("https://www.genecards.org/Search/Keyword?queryString=%5Baliases%5D(%20PAPSS2%20)&amp;keywords=PAPSS2", "PAPSS2")</f>
        <v>PAPSS2</v>
      </c>
      <c r="N27" s="2" t="s">
        <v>45</v>
      </c>
      <c r="O27" s="2" t="s">
        <v>46</v>
      </c>
      <c r="P27" s="2" t="s">
        <v>318</v>
      </c>
      <c r="Q27" s="2" t="n">
        <v>0.0055885</v>
      </c>
      <c r="R27" s="2" t="n">
        <v>-1</v>
      </c>
      <c r="S27" s="2" t="n">
        <v>-1</v>
      </c>
      <c r="T27" s="2" t="n">
        <v>-1</v>
      </c>
      <c r="U27" s="2" t="n">
        <v>-1</v>
      </c>
      <c r="V27" s="2" t="s">
        <v>46</v>
      </c>
      <c r="W27" s="2" t="s">
        <v>46</v>
      </c>
      <c r="X27" s="2" t="s">
        <v>46</v>
      </c>
      <c r="Y27" s="2" t="s">
        <v>46</v>
      </c>
      <c r="Z27" s="2" t="s">
        <v>46</v>
      </c>
      <c r="AA27" s="2" t="s">
        <v>46</v>
      </c>
      <c r="AB27" s="2" t="s">
        <v>46</v>
      </c>
      <c r="AC27" s="2" t="s">
        <v>319</v>
      </c>
      <c r="AD27" s="2" t="s">
        <v>94</v>
      </c>
      <c r="AE27" s="2" t="s">
        <v>320</v>
      </c>
      <c r="AF27" s="2" t="s">
        <v>321</v>
      </c>
      <c r="AG27" s="2" t="s">
        <v>322</v>
      </c>
      <c r="AH27" s="2" t="s">
        <v>46</v>
      </c>
      <c r="AI27" s="2" t="s">
        <v>46</v>
      </c>
      <c r="AJ27" s="2" t="s">
        <v>46</v>
      </c>
      <c r="AK27" s="2" t="s">
        <v>46</v>
      </c>
      <c r="AL27" s="2" t="s">
        <v>46</v>
      </c>
    </row>
    <row r="28" s="2" customFormat="true" ht="15" hidden="false" customHeight="false" outlineLevel="0" collapsed="false">
      <c r="B28" s="2" t="str">
        <f aca="false">HYPERLINK("https://genome.ucsc.edu/cgi-bin/hgTracks?db=hg19&amp;position=chr10%3A89473069%2D89473069", "chr10:89473069")</f>
        <v>chr10:89473069</v>
      </c>
      <c r="C28" s="2" t="s">
        <v>311</v>
      </c>
      <c r="D28" s="2" t="n">
        <v>89473069</v>
      </c>
      <c r="E28" s="2" t="n">
        <v>89473069</v>
      </c>
      <c r="F28" s="2" t="s">
        <v>312</v>
      </c>
      <c r="G28" s="2" t="s">
        <v>323</v>
      </c>
      <c r="H28" s="2" t="s">
        <v>314</v>
      </c>
      <c r="I28" s="2" t="s">
        <v>315</v>
      </c>
      <c r="J28" s="2" t="s">
        <v>316</v>
      </c>
      <c r="K28" s="2" t="s">
        <v>317</v>
      </c>
      <c r="L28" s="2" t="str">
        <f aca="false">HYPERLINK("https://www.ncbi.nlm.nih.gov/snp/rs367885911", "rs367885911")</f>
        <v>rs367885911</v>
      </c>
      <c r="M28" s="2" t="str">
        <f aca="false">HYPERLINK("https://www.genecards.org/Search/Keyword?queryString=%5Baliases%5D(%20PAPSS2%20)&amp;keywords=PAPSS2", "PAPSS2")</f>
        <v>PAPSS2</v>
      </c>
      <c r="N28" s="2" t="s">
        <v>45</v>
      </c>
      <c r="O28" s="2" t="s">
        <v>46</v>
      </c>
      <c r="P28" s="2" t="s">
        <v>324</v>
      </c>
      <c r="Q28" s="2" t="n">
        <v>0.0009896</v>
      </c>
      <c r="R28" s="2" t="n">
        <v>-1</v>
      </c>
      <c r="S28" s="2" t="n">
        <v>-1</v>
      </c>
      <c r="T28" s="2" t="n">
        <v>-1</v>
      </c>
      <c r="U28" s="2" t="n">
        <v>-1</v>
      </c>
      <c r="V28" s="2" t="s">
        <v>46</v>
      </c>
      <c r="W28" s="2" t="s">
        <v>46</v>
      </c>
      <c r="X28" s="2" t="s">
        <v>46</v>
      </c>
      <c r="Y28" s="2" t="s">
        <v>46</v>
      </c>
      <c r="Z28" s="2" t="s">
        <v>46</v>
      </c>
      <c r="AA28" s="2" t="s">
        <v>46</v>
      </c>
      <c r="AB28" s="2" t="s">
        <v>46</v>
      </c>
      <c r="AC28" s="2" t="s">
        <v>319</v>
      </c>
      <c r="AD28" s="2" t="s">
        <v>94</v>
      </c>
      <c r="AE28" s="2" t="s">
        <v>320</v>
      </c>
      <c r="AF28" s="2" t="s">
        <v>321</v>
      </c>
      <c r="AG28" s="2" t="s">
        <v>322</v>
      </c>
      <c r="AH28" s="2" t="s">
        <v>46</v>
      </c>
      <c r="AI28" s="2" t="s">
        <v>46</v>
      </c>
      <c r="AJ28" s="2" t="s">
        <v>46</v>
      </c>
      <c r="AK28" s="2" t="s">
        <v>46</v>
      </c>
      <c r="AL28" s="2" t="s">
        <v>46</v>
      </c>
    </row>
    <row r="29" customFormat="false" ht="15" hidden="false" customHeight="false" outlineLevel="0" collapsed="false">
      <c r="A29" s="5"/>
      <c r="B29" s="5" t="str">
        <f aca="false">HYPERLINK("https://genome.ucsc.edu/cgi-bin/hgTracks?db=hg19&amp;position=chr7%3A151927023%2D151927023", "chr7:151927023")</f>
        <v>chr7:151927023</v>
      </c>
      <c r="C29" s="5" t="s">
        <v>57</v>
      </c>
      <c r="D29" s="5" t="n">
        <v>151927023</v>
      </c>
      <c r="E29" s="5" t="n">
        <v>151927023</v>
      </c>
      <c r="F29" s="5" t="s">
        <v>58</v>
      </c>
      <c r="G29" s="5" t="s">
        <v>40</v>
      </c>
      <c r="H29" s="5" t="s">
        <v>325</v>
      </c>
      <c r="I29" s="5" t="s">
        <v>326</v>
      </c>
      <c r="J29" s="5" t="s">
        <v>327</v>
      </c>
      <c r="K29" s="5" t="s">
        <v>46</v>
      </c>
      <c r="L29" s="5" t="str">
        <f aca="false">HYPERLINK("https://www.ncbi.nlm.nih.gov/snp/rs58528565", "rs58528565")</f>
        <v>rs58528565</v>
      </c>
      <c r="M29" s="5" t="str">
        <f aca="false">HYPERLINK("https://www.genecards.org/Search/Keyword?queryString=%5Baliases%5D(%20KMT2C%20)&amp;keywords=KMT2C", "KMT2C")</f>
        <v>KMT2C</v>
      </c>
      <c r="N29" s="5" t="s">
        <v>77</v>
      </c>
      <c r="O29" s="5" t="s">
        <v>328</v>
      </c>
      <c r="P29" s="5" t="s">
        <v>329</v>
      </c>
      <c r="Q29" s="5" t="n">
        <v>1.94E-005</v>
      </c>
      <c r="R29" s="5" t="n">
        <v>-1</v>
      </c>
      <c r="S29" s="5" t="n">
        <v>-1</v>
      </c>
      <c r="T29" s="5" t="n">
        <v>-1</v>
      </c>
      <c r="U29" s="5" t="n">
        <v>-1</v>
      </c>
      <c r="V29" s="5" t="s">
        <v>330</v>
      </c>
      <c r="W29" s="5" t="s">
        <v>46</v>
      </c>
      <c r="X29" s="5" t="s">
        <v>46</v>
      </c>
      <c r="Y29" s="5" t="s">
        <v>46</v>
      </c>
      <c r="Z29" s="5" t="s">
        <v>51</v>
      </c>
      <c r="AA29" s="5" t="s">
        <v>181</v>
      </c>
      <c r="AB29" s="5" t="s">
        <v>331</v>
      </c>
      <c r="AC29" s="5" t="s">
        <v>52</v>
      </c>
      <c r="AD29" s="5" t="s">
        <v>53</v>
      </c>
      <c r="AE29" s="5" t="s">
        <v>332</v>
      </c>
      <c r="AF29" s="5" t="s">
        <v>333</v>
      </c>
      <c r="AG29" s="5" t="s">
        <v>334</v>
      </c>
      <c r="AH29" s="5" t="s">
        <v>46</v>
      </c>
      <c r="AI29" s="5" t="s">
        <v>46</v>
      </c>
      <c r="AJ29" s="5" t="s">
        <v>46</v>
      </c>
      <c r="AK29" s="5" t="s">
        <v>46</v>
      </c>
      <c r="AL29" s="5" t="s">
        <v>195</v>
      </c>
    </row>
    <row r="30" customFormat="false" ht="15" hidden="false" customHeight="false" outlineLevel="0" collapsed="false">
      <c r="B30" s="0" t="str">
        <f aca="false">HYPERLINK("https://genome.ucsc.edu/cgi-bin/hgTracks?db=hg19&amp;position=chr2%3A233630577%2D233630577", "chr2:233630577")</f>
        <v>chr2:233630577</v>
      </c>
      <c r="C30" s="0" t="s">
        <v>122</v>
      </c>
      <c r="D30" s="0" t="n">
        <v>233630577</v>
      </c>
      <c r="E30" s="0" t="n">
        <v>233630577</v>
      </c>
      <c r="F30" s="0" t="s">
        <v>58</v>
      </c>
      <c r="G30" s="0" t="s">
        <v>72</v>
      </c>
      <c r="H30" s="0" t="s">
        <v>335</v>
      </c>
      <c r="I30" s="0" t="s">
        <v>336</v>
      </c>
      <c r="J30" s="0" t="s">
        <v>337</v>
      </c>
      <c r="K30" s="0" t="s">
        <v>46</v>
      </c>
      <c r="L30" s="0" t="str">
        <f aca="false">HYPERLINK("https://www.ncbi.nlm.nih.gov/snp/rs74547374", "rs74547374")</f>
        <v>rs74547374</v>
      </c>
      <c r="M30" s="0" t="str">
        <f aca="false">HYPERLINK("https://www.genecards.org/Search/Keyword?queryString=%5Baliases%5D(%20KCNJ13%20)&amp;keywords=KCNJ13", "KCNJ13")</f>
        <v>KCNJ13</v>
      </c>
      <c r="N30" s="0" t="s">
        <v>338</v>
      </c>
      <c r="O30" s="0" t="s">
        <v>46</v>
      </c>
      <c r="P30" s="0" t="s">
        <v>339</v>
      </c>
      <c r="Q30" s="0" t="n">
        <v>0.0198546</v>
      </c>
      <c r="R30" s="0" t="n">
        <v>0.0147</v>
      </c>
      <c r="S30" s="0" t="n">
        <v>0.0145</v>
      </c>
      <c r="T30" s="0" t="n">
        <v>-1</v>
      </c>
      <c r="U30" s="0" t="n">
        <v>0.0127</v>
      </c>
      <c r="V30" s="0" t="s">
        <v>46</v>
      </c>
      <c r="W30" s="0" t="s">
        <v>46</v>
      </c>
      <c r="X30" s="0" t="s">
        <v>340</v>
      </c>
      <c r="Y30" s="0" t="s">
        <v>64</v>
      </c>
      <c r="Z30" s="0" t="s">
        <v>46</v>
      </c>
      <c r="AA30" s="0" t="s">
        <v>46</v>
      </c>
      <c r="AB30" s="0" t="s">
        <v>331</v>
      </c>
      <c r="AC30" s="0" t="s">
        <v>52</v>
      </c>
      <c r="AD30" s="0" t="s">
        <v>53</v>
      </c>
      <c r="AE30" s="0" t="s">
        <v>341</v>
      </c>
      <c r="AF30" s="0" t="s">
        <v>342</v>
      </c>
      <c r="AG30" s="0" t="s">
        <v>343</v>
      </c>
      <c r="AH30" s="0" t="s">
        <v>344</v>
      </c>
      <c r="AI30" s="0" t="s">
        <v>46</v>
      </c>
      <c r="AJ30" s="0" t="s">
        <v>46</v>
      </c>
      <c r="AK30" s="0" t="s">
        <v>46</v>
      </c>
      <c r="AL30" s="0" t="s">
        <v>46</v>
      </c>
    </row>
    <row r="31" customFormat="false" ht="15" hidden="false" customHeight="false" outlineLevel="0" collapsed="false">
      <c r="B31" s="0" t="str">
        <f aca="false">HYPERLINK("https://genome.ucsc.edu/cgi-bin/hgTracks?db=hg19&amp;position=chr6%3A143810681%2D143810682", "chr6:143810681")</f>
        <v>chr6:143810681</v>
      </c>
      <c r="C31" s="0" t="s">
        <v>255</v>
      </c>
      <c r="D31" s="0" t="n">
        <v>143810681</v>
      </c>
      <c r="E31" s="0" t="n">
        <v>143810682</v>
      </c>
      <c r="F31" s="0" t="s">
        <v>313</v>
      </c>
      <c r="G31" s="0" t="s">
        <v>312</v>
      </c>
      <c r="H31" s="0" t="s">
        <v>345</v>
      </c>
      <c r="I31" s="0" t="s">
        <v>346</v>
      </c>
      <c r="J31" s="0" t="s">
        <v>347</v>
      </c>
      <c r="K31" s="0" t="s">
        <v>46</v>
      </c>
      <c r="L31" s="0" t="str">
        <f aca="false">HYPERLINK("https://www.ncbi.nlm.nih.gov/snp/rs771525459", "rs771525459")</f>
        <v>rs771525459</v>
      </c>
      <c r="M31" s="0" t="str">
        <f aca="false">HYPERLINK("https://www.genecards.org/Search/Keyword?queryString=%5Baliases%5D(%20PEX3%20)&amp;keywords=PEX3", "PEX3")</f>
        <v>PEX3</v>
      </c>
      <c r="N31" s="0" t="s">
        <v>338</v>
      </c>
      <c r="O31" s="0" t="s">
        <v>46</v>
      </c>
      <c r="P31" s="0" t="s">
        <v>348</v>
      </c>
      <c r="Q31" s="0" t="n">
        <v>0.0026</v>
      </c>
      <c r="R31" s="0" t="n">
        <v>0.0026</v>
      </c>
      <c r="S31" s="0" t="n">
        <v>0.0026</v>
      </c>
      <c r="T31" s="0" t="n">
        <v>-1</v>
      </c>
      <c r="U31" s="0" t="n">
        <v>0.0093</v>
      </c>
      <c r="V31" s="0" t="s">
        <v>46</v>
      </c>
      <c r="W31" s="0" t="s">
        <v>46</v>
      </c>
      <c r="X31" s="0" t="s">
        <v>46</v>
      </c>
      <c r="Y31" s="0" t="s">
        <v>46</v>
      </c>
      <c r="Z31" s="0" t="s">
        <v>46</v>
      </c>
      <c r="AA31" s="0" t="s">
        <v>46</v>
      </c>
      <c r="AB31" s="0" t="s">
        <v>331</v>
      </c>
      <c r="AC31" s="0" t="s">
        <v>52</v>
      </c>
      <c r="AD31" s="0" t="s">
        <v>94</v>
      </c>
      <c r="AE31" s="0" t="s">
        <v>349</v>
      </c>
      <c r="AF31" s="0" t="s">
        <v>350</v>
      </c>
      <c r="AG31" s="0" t="s">
        <v>351</v>
      </c>
      <c r="AH31" s="0" t="s">
        <v>352</v>
      </c>
      <c r="AI31" s="0" t="s">
        <v>46</v>
      </c>
      <c r="AJ31" s="0" t="s">
        <v>46</v>
      </c>
      <c r="AK31" s="0" t="s">
        <v>46</v>
      </c>
      <c r="AL31" s="0" t="s">
        <v>46</v>
      </c>
    </row>
    <row r="32" s="5" customFormat="true" ht="15" hidden="false" customHeight="false" outlineLevel="0" collapsed="false">
      <c r="A32" s="2" t="s">
        <v>70</v>
      </c>
      <c r="B32" s="2" t="str">
        <f aca="false">HYPERLINK("https://genome.ucsc.edu/cgi-bin/hgTracks?db=hg19&amp;position=chr21%3A45759044%2D45759044", "chr21:45759044")</f>
        <v>chr21:45759044</v>
      </c>
      <c r="C32" s="2" t="s">
        <v>174</v>
      </c>
      <c r="D32" s="2" t="n">
        <v>45759044</v>
      </c>
      <c r="E32" s="2" t="n">
        <v>45759044</v>
      </c>
      <c r="F32" s="2" t="s">
        <v>312</v>
      </c>
      <c r="G32" s="2" t="s">
        <v>353</v>
      </c>
      <c r="H32" s="2" t="s">
        <v>354</v>
      </c>
      <c r="I32" s="2" t="s">
        <v>355</v>
      </c>
      <c r="J32" s="2" t="s">
        <v>356</v>
      </c>
      <c r="K32" s="2" t="s">
        <v>46</v>
      </c>
      <c r="L32" s="2" t="str">
        <f aca="false">HYPERLINK("https://www.ncbi.nlm.nih.gov/snp/rs748531024", "rs748531024")</f>
        <v>rs748531024</v>
      </c>
      <c r="M32" s="2" t="str">
        <f aca="false">HYPERLINK("https://www.genecards.org/Search/Keyword?queryString=%5Baliases%5D(%20C21orf2%20)%20OR%20%5Baliases%5D(%20CFAP410%20)&amp;keywords=C21orf2,CFAP410", "C21orf2;CFAP410")</f>
        <v>C21orf2;CFAP410</v>
      </c>
      <c r="N32" s="2" t="s">
        <v>77</v>
      </c>
      <c r="O32" s="2" t="s">
        <v>357</v>
      </c>
      <c r="P32" s="2" t="s">
        <v>358</v>
      </c>
      <c r="Q32" s="2" t="n">
        <v>0.0009</v>
      </c>
      <c r="R32" s="2" t="n">
        <v>0.0002</v>
      </c>
      <c r="S32" s="2" t="n">
        <v>0.0003</v>
      </c>
      <c r="T32" s="2" t="n">
        <v>-1</v>
      </c>
      <c r="U32" s="2" t="n">
        <v>0.0004</v>
      </c>
      <c r="V32" s="2" t="s">
        <v>46</v>
      </c>
      <c r="W32" s="2" t="s">
        <v>46</v>
      </c>
      <c r="X32" s="2" t="s">
        <v>46</v>
      </c>
      <c r="Y32" s="2" t="s">
        <v>46</v>
      </c>
      <c r="Z32" s="2" t="s">
        <v>46</v>
      </c>
      <c r="AA32" s="2" t="s">
        <v>46</v>
      </c>
      <c r="AB32" s="2" t="s">
        <v>181</v>
      </c>
      <c r="AC32" s="2" t="s">
        <v>52</v>
      </c>
      <c r="AD32" s="2" t="s">
        <v>182</v>
      </c>
      <c r="AE32" s="2" t="s">
        <v>359</v>
      </c>
      <c r="AF32" s="2" t="s">
        <v>360</v>
      </c>
      <c r="AG32" s="2" t="s">
        <v>361</v>
      </c>
      <c r="AH32" s="2" t="s">
        <v>46</v>
      </c>
      <c r="AI32" s="2" t="s">
        <v>46</v>
      </c>
      <c r="AJ32" s="2" t="s">
        <v>46</v>
      </c>
      <c r="AK32" s="2" t="s">
        <v>46</v>
      </c>
      <c r="AL32" s="2" t="s">
        <v>46</v>
      </c>
    </row>
    <row r="33" s="5" customFormat="true" ht="15" hidden="false" customHeight="false" outlineLevel="0" collapsed="false">
      <c r="A33" s="0"/>
      <c r="B33" s="0" t="str">
        <f aca="false">HYPERLINK("https://genome.ucsc.edu/cgi-bin/hgTracks?db=hg19&amp;position=chr15%3A34547638%2D34547638", "chr15:34547638")</f>
        <v>chr15:34547638</v>
      </c>
      <c r="C33" s="0" t="s">
        <v>362</v>
      </c>
      <c r="D33" s="0" t="n">
        <v>34547638</v>
      </c>
      <c r="E33" s="0" t="n">
        <v>34547638</v>
      </c>
      <c r="F33" s="0" t="s">
        <v>72</v>
      </c>
      <c r="G33" s="0" t="s">
        <v>39</v>
      </c>
      <c r="H33" s="0" t="s">
        <v>363</v>
      </c>
      <c r="I33" s="0" t="s">
        <v>364</v>
      </c>
      <c r="J33" s="0" t="s">
        <v>365</v>
      </c>
      <c r="K33" s="0" t="s">
        <v>46</v>
      </c>
      <c r="L33" s="0" t="str">
        <f aca="false">HYPERLINK("https://www.ncbi.nlm.nih.gov/snp/rs17817830", "rs17817830")</f>
        <v>rs17817830</v>
      </c>
      <c r="M33" s="0" t="str">
        <f aca="false">HYPERLINK("https://www.genecards.org/Search/Keyword?queryString=%5Baliases%5D(%20SLC12A6%20)&amp;keywords=SLC12A6", "SLC12A6")</f>
        <v>SLC12A6</v>
      </c>
      <c r="N33" s="0" t="s">
        <v>366</v>
      </c>
      <c r="O33" s="0" t="s">
        <v>46</v>
      </c>
      <c r="P33" s="0" t="s">
        <v>46</v>
      </c>
      <c r="Q33" s="0" t="n">
        <v>0.0288</v>
      </c>
      <c r="R33" s="0" t="n">
        <v>0.0264</v>
      </c>
      <c r="S33" s="0" t="n">
        <v>0.0272</v>
      </c>
      <c r="T33" s="0" t="n">
        <v>-1</v>
      </c>
      <c r="U33" s="0" t="n">
        <v>0.0286</v>
      </c>
      <c r="V33" s="0" t="s">
        <v>46</v>
      </c>
      <c r="W33" s="0" t="s">
        <v>46</v>
      </c>
      <c r="X33" s="0" t="s">
        <v>340</v>
      </c>
      <c r="Y33" s="0" t="s">
        <v>64</v>
      </c>
      <c r="Z33" s="0" t="s">
        <v>46</v>
      </c>
      <c r="AA33" s="0" t="s">
        <v>46</v>
      </c>
      <c r="AB33" s="0" t="s">
        <v>367</v>
      </c>
      <c r="AC33" s="0" t="s">
        <v>52</v>
      </c>
      <c r="AD33" s="0" t="s">
        <v>53</v>
      </c>
      <c r="AE33" s="0" t="s">
        <v>368</v>
      </c>
      <c r="AF33" s="0" t="s">
        <v>369</v>
      </c>
      <c r="AG33" s="0" t="s">
        <v>370</v>
      </c>
      <c r="AH33" s="0" t="s">
        <v>371</v>
      </c>
      <c r="AI33" s="0" t="s">
        <v>46</v>
      </c>
      <c r="AJ33" s="0" t="s">
        <v>46</v>
      </c>
      <c r="AK33" s="0" t="s">
        <v>46</v>
      </c>
      <c r="AL33" s="0" t="s">
        <v>46</v>
      </c>
    </row>
    <row r="34" s="2" customFormat="true" ht="15" hidden="false" customHeight="false" outlineLevel="0" collapsed="false">
      <c r="A34" s="0"/>
      <c r="B34" s="0" t="str">
        <f aca="false">HYPERLINK("https://genome.ucsc.edu/cgi-bin/hgTracks?db=hg19&amp;position=chr17%3A2587958%2D2587958", "chr17:2587958")</f>
        <v>chr17:2587958</v>
      </c>
      <c r="C34" s="0" t="s">
        <v>372</v>
      </c>
      <c r="D34" s="0" t="n">
        <v>2587958</v>
      </c>
      <c r="E34" s="0" t="n">
        <v>2587958</v>
      </c>
      <c r="F34" s="0" t="s">
        <v>58</v>
      </c>
      <c r="G34" s="0" t="s">
        <v>72</v>
      </c>
      <c r="H34" s="0" t="s">
        <v>373</v>
      </c>
      <c r="I34" s="0" t="s">
        <v>374</v>
      </c>
      <c r="J34" s="0" t="s">
        <v>375</v>
      </c>
      <c r="K34" s="0" t="s">
        <v>46</v>
      </c>
      <c r="L34" s="0" t="str">
        <f aca="false">HYPERLINK("https://www.ncbi.nlm.nih.gov/snp/rs145845266", "rs145845266")</f>
        <v>rs145845266</v>
      </c>
      <c r="M34" s="0" t="str">
        <f aca="false">HYPERLINK("https://www.genecards.org/Search/Keyword?queryString=%5Baliases%5D(%20PAFAH1B1%20)&amp;keywords=PAFAH1B1", "PAFAH1B1")</f>
        <v>PAFAH1B1</v>
      </c>
      <c r="N34" s="0" t="s">
        <v>338</v>
      </c>
      <c r="O34" s="0" t="s">
        <v>46</v>
      </c>
      <c r="P34" s="0" t="s">
        <v>376</v>
      </c>
      <c r="Q34" s="0" t="n">
        <v>0.004</v>
      </c>
      <c r="R34" s="0" t="n">
        <v>0.0051</v>
      </c>
      <c r="S34" s="0" t="n">
        <v>0.0043</v>
      </c>
      <c r="T34" s="0" t="n">
        <v>-1</v>
      </c>
      <c r="U34" s="0" t="n">
        <v>0.0073</v>
      </c>
      <c r="V34" s="0" t="s">
        <v>46</v>
      </c>
      <c r="W34" s="0" t="s">
        <v>46</v>
      </c>
      <c r="X34" s="0" t="s">
        <v>46</v>
      </c>
      <c r="Y34" s="0" t="s">
        <v>46</v>
      </c>
      <c r="Z34" s="0" t="s">
        <v>46</v>
      </c>
      <c r="AA34" s="0" t="s">
        <v>46</v>
      </c>
      <c r="AB34" s="0" t="s">
        <v>367</v>
      </c>
      <c r="AC34" s="0" t="s">
        <v>52</v>
      </c>
      <c r="AD34" s="0" t="s">
        <v>53</v>
      </c>
      <c r="AE34" s="0" t="s">
        <v>377</v>
      </c>
      <c r="AF34" s="0" t="s">
        <v>378</v>
      </c>
      <c r="AG34" s="0" t="s">
        <v>379</v>
      </c>
      <c r="AH34" s="0" t="s">
        <v>380</v>
      </c>
      <c r="AI34" s="0" t="s">
        <v>46</v>
      </c>
      <c r="AJ34" s="0" t="s">
        <v>46</v>
      </c>
      <c r="AK34" s="0" t="s">
        <v>46</v>
      </c>
      <c r="AL34" s="0" t="s">
        <v>46</v>
      </c>
    </row>
    <row r="35" s="5" customFormat="true" ht="15" hidden="false" customHeight="false" outlineLevel="0" collapsed="false">
      <c r="A35" s="0"/>
      <c r="B35" s="0" t="str">
        <f aca="false">HYPERLINK("https://genome.ucsc.edu/cgi-bin/hgTracks?db=hg19&amp;position=chr3%3A128629277%2D128629277", "chr3:128629277")</f>
        <v>chr3:128629277</v>
      </c>
      <c r="C35" s="0" t="s">
        <v>381</v>
      </c>
      <c r="D35" s="0" t="n">
        <v>128629277</v>
      </c>
      <c r="E35" s="0" t="n">
        <v>128629277</v>
      </c>
      <c r="F35" s="0" t="s">
        <v>40</v>
      </c>
      <c r="G35" s="0" t="s">
        <v>39</v>
      </c>
      <c r="H35" s="0" t="s">
        <v>382</v>
      </c>
      <c r="I35" s="0" t="s">
        <v>383</v>
      </c>
      <c r="J35" s="0" t="s">
        <v>384</v>
      </c>
      <c r="K35" s="0" t="s">
        <v>46</v>
      </c>
      <c r="L35" s="0" t="str">
        <f aca="false">HYPERLINK("https://www.ncbi.nlm.nih.gov/snp/rs139199002", "rs139199002")</f>
        <v>rs139199002</v>
      </c>
      <c r="M35" s="0" t="str">
        <f aca="false">HYPERLINK("https://www.genecards.org/Search/Keyword?queryString=%5Baliases%5D(%20ACAD9%20)%20OR%20%5Baliases%5D(%20AK125726%20)%20OR%20%5Baliases%5D(%20KIAA1257%20)&amp;keywords=ACAD9,AK125726,KIAA1257", "ACAD9;AK125726;KIAA1257")</f>
        <v>ACAD9;AK125726;KIAA1257</v>
      </c>
      <c r="N35" s="0" t="s">
        <v>63</v>
      </c>
      <c r="O35" s="0" t="s">
        <v>46</v>
      </c>
      <c r="P35" s="0" t="s">
        <v>46</v>
      </c>
      <c r="Q35" s="0" t="n">
        <v>0.0129</v>
      </c>
      <c r="R35" s="0" t="n">
        <v>0.0109</v>
      </c>
      <c r="S35" s="0" t="n">
        <v>0.0109</v>
      </c>
      <c r="T35" s="0" t="n">
        <v>-1</v>
      </c>
      <c r="U35" s="0" t="n">
        <v>0.0096</v>
      </c>
      <c r="V35" s="0" t="s">
        <v>46</v>
      </c>
      <c r="W35" s="0" t="s">
        <v>46</v>
      </c>
      <c r="X35" s="0" t="s">
        <v>385</v>
      </c>
      <c r="Y35" s="0" t="s">
        <v>64</v>
      </c>
      <c r="Z35" s="0" t="s">
        <v>46</v>
      </c>
      <c r="AA35" s="0" t="s">
        <v>46</v>
      </c>
      <c r="AB35" s="0" t="s">
        <v>367</v>
      </c>
      <c r="AC35" s="0" t="s">
        <v>52</v>
      </c>
      <c r="AD35" s="0" t="s">
        <v>386</v>
      </c>
      <c r="AE35" s="0" t="s">
        <v>387</v>
      </c>
      <c r="AF35" s="0" t="s">
        <v>388</v>
      </c>
      <c r="AG35" s="0" t="s">
        <v>389</v>
      </c>
      <c r="AH35" s="0" t="s">
        <v>46</v>
      </c>
      <c r="AI35" s="0" t="s">
        <v>46</v>
      </c>
      <c r="AJ35" s="0" t="s">
        <v>46</v>
      </c>
      <c r="AK35" s="0" t="s">
        <v>46</v>
      </c>
      <c r="AL35" s="0" t="s">
        <v>46</v>
      </c>
    </row>
    <row r="36" s="2" customFormat="true" ht="15" hidden="false" customHeight="false" outlineLevel="0" collapsed="false">
      <c r="A36" s="0"/>
      <c r="B36" s="0" t="str">
        <f aca="false">HYPERLINK("https://genome.ucsc.edu/cgi-bin/hgTracks?db=hg19&amp;position=chr6%3A121767966%2D121767966", "chr6:121767966")</f>
        <v>chr6:121767966</v>
      </c>
      <c r="C36" s="0" t="s">
        <v>255</v>
      </c>
      <c r="D36" s="0" t="n">
        <v>121767966</v>
      </c>
      <c r="E36" s="0" t="n">
        <v>121767966</v>
      </c>
      <c r="F36" s="0" t="s">
        <v>39</v>
      </c>
      <c r="G36" s="0" t="s">
        <v>72</v>
      </c>
      <c r="H36" s="0" t="s">
        <v>390</v>
      </c>
      <c r="I36" s="0" t="s">
        <v>391</v>
      </c>
      <c r="J36" s="0" t="s">
        <v>392</v>
      </c>
      <c r="K36" s="0" t="s">
        <v>46</v>
      </c>
      <c r="L36" s="0" t="str">
        <f aca="false">HYPERLINK("https://www.ncbi.nlm.nih.gov/snp/rs56199702", "rs56199702")</f>
        <v>rs56199702</v>
      </c>
      <c r="M36" s="0" t="str">
        <f aca="false">HYPERLINK("https://www.genecards.org/Search/Keyword?queryString=%5Baliases%5D(%20GJA1%20)&amp;keywords=GJA1", "GJA1")</f>
        <v>GJA1</v>
      </c>
      <c r="N36" s="0" t="s">
        <v>63</v>
      </c>
      <c r="O36" s="0" t="s">
        <v>46</v>
      </c>
      <c r="P36" s="0" t="s">
        <v>46</v>
      </c>
      <c r="Q36" s="0" t="n">
        <v>0.0185</v>
      </c>
      <c r="R36" s="0" t="n">
        <v>0.0224</v>
      </c>
      <c r="S36" s="0" t="n">
        <v>0.0186</v>
      </c>
      <c r="T36" s="0" t="n">
        <v>-1</v>
      </c>
      <c r="U36" s="0" t="n">
        <v>0.034</v>
      </c>
      <c r="V36" s="0" t="s">
        <v>46</v>
      </c>
      <c r="W36" s="0" t="s">
        <v>49</v>
      </c>
      <c r="X36" s="0" t="s">
        <v>49</v>
      </c>
      <c r="Y36" s="0" t="s">
        <v>50</v>
      </c>
      <c r="Z36" s="0" t="s">
        <v>46</v>
      </c>
      <c r="AA36" s="0" t="s">
        <v>46</v>
      </c>
      <c r="AB36" s="0" t="s">
        <v>367</v>
      </c>
      <c r="AC36" s="0" t="s">
        <v>52</v>
      </c>
      <c r="AD36" s="0" t="s">
        <v>53</v>
      </c>
      <c r="AE36" s="0" t="s">
        <v>393</v>
      </c>
      <c r="AF36" s="0" t="s">
        <v>394</v>
      </c>
      <c r="AG36" s="0" t="s">
        <v>395</v>
      </c>
      <c r="AH36" s="0" t="s">
        <v>396</v>
      </c>
      <c r="AI36" s="0" t="s">
        <v>46</v>
      </c>
      <c r="AJ36" s="0" t="s">
        <v>46</v>
      </c>
      <c r="AK36" s="0" t="s">
        <v>46</v>
      </c>
      <c r="AL36" s="0" t="s">
        <v>397</v>
      </c>
    </row>
    <row r="37" s="2" customFormat="true" ht="15" hidden="false" customHeight="false" outlineLevel="0" collapsed="false">
      <c r="A37" s="0"/>
      <c r="B37" s="0" t="str">
        <f aca="false">HYPERLINK("https://genome.ucsc.edu/cgi-bin/hgTracks?db=hg19&amp;position=chr18%3A2706359%2D2706359", "chr18:2706359")</f>
        <v>chr18:2706359</v>
      </c>
      <c r="C37" s="0" t="s">
        <v>398</v>
      </c>
      <c r="D37" s="0" t="n">
        <v>2706359</v>
      </c>
      <c r="E37" s="0" t="n">
        <v>2706359</v>
      </c>
      <c r="F37" s="0" t="s">
        <v>40</v>
      </c>
      <c r="G37" s="0" t="s">
        <v>39</v>
      </c>
      <c r="H37" s="0" t="s">
        <v>399</v>
      </c>
      <c r="I37" s="0" t="s">
        <v>400</v>
      </c>
      <c r="J37" s="0" t="s">
        <v>401</v>
      </c>
      <c r="K37" s="0" t="s">
        <v>46</v>
      </c>
      <c r="L37" s="0" t="str">
        <f aca="false">HYPERLINK("https://www.ncbi.nlm.nih.gov/snp/rs201069969", "rs201069969")</f>
        <v>rs201069969</v>
      </c>
      <c r="M37" s="0" t="str">
        <f aca="false">HYPERLINK("https://www.genecards.org/Search/Keyword?queryString=%5Baliases%5D(%20SMCHD1%20)&amp;keywords=SMCHD1", "SMCHD1")</f>
        <v>SMCHD1</v>
      </c>
      <c r="N37" s="0" t="s">
        <v>366</v>
      </c>
      <c r="O37" s="0" t="s">
        <v>46</v>
      </c>
      <c r="P37" s="0" t="s">
        <v>46</v>
      </c>
      <c r="Q37" s="0" t="n">
        <v>0.0034</v>
      </c>
      <c r="R37" s="0" t="n">
        <v>0.0012</v>
      </c>
      <c r="S37" s="0" t="n">
        <v>0.0018</v>
      </c>
      <c r="T37" s="0" t="n">
        <v>-1</v>
      </c>
      <c r="U37" s="0" t="n">
        <v>0.0041</v>
      </c>
      <c r="V37" s="0" t="s">
        <v>46</v>
      </c>
      <c r="W37" s="0" t="s">
        <v>39</v>
      </c>
      <c r="X37" s="0" t="s">
        <v>340</v>
      </c>
      <c r="Y37" s="0" t="s">
        <v>50</v>
      </c>
      <c r="Z37" s="0" t="s">
        <v>46</v>
      </c>
      <c r="AA37" s="0" t="s">
        <v>46</v>
      </c>
      <c r="AB37" s="0" t="s">
        <v>130</v>
      </c>
      <c r="AC37" s="0" t="s">
        <v>52</v>
      </c>
      <c r="AD37" s="0" t="s">
        <v>53</v>
      </c>
      <c r="AE37" s="0" t="s">
        <v>402</v>
      </c>
      <c r="AF37" s="0" t="s">
        <v>403</v>
      </c>
      <c r="AG37" s="0" t="s">
        <v>404</v>
      </c>
      <c r="AH37" s="0" t="s">
        <v>405</v>
      </c>
      <c r="AI37" s="0" t="s">
        <v>46</v>
      </c>
      <c r="AJ37" s="0" t="s">
        <v>46</v>
      </c>
      <c r="AK37" s="0" t="s">
        <v>46</v>
      </c>
      <c r="AL37" s="0" t="s">
        <v>46</v>
      </c>
    </row>
    <row r="38" s="2" customFormat="true" ht="15" hidden="false" customHeight="false" outlineLevel="0" collapsed="false">
      <c r="B38" s="2" t="str">
        <f aca="false">HYPERLINK("https://genome.ucsc.edu/cgi-bin/hgTracks?db=hg19&amp;position=chr2%3A179623772%2D179623772", "chr2:179623772")</f>
        <v>chr2:179623772</v>
      </c>
      <c r="C38" s="2" t="s">
        <v>122</v>
      </c>
      <c r="D38" s="2" t="n">
        <v>179623772</v>
      </c>
      <c r="E38" s="2" t="n">
        <v>179623772</v>
      </c>
      <c r="F38" s="2" t="s">
        <v>58</v>
      </c>
      <c r="G38" s="2" t="s">
        <v>72</v>
      </c>
      <c r="H38" s="2" t="s">
        <v>406</v>
      </c>
      <c r="I38" s="2" t="s">
        <v>407</v>
      </c>
      <c r="J38" s="2" t="s">
        <v>408</v>
      </c>
      <c r="K38" s="2" t="s">
        <v>46</v>
      </c>
      <c r="L38" s="2" t="str">
        <f aca="false">HYPERLINK("https://www.ncbi.nlm.nih.gov/snp/rs45447891", "rs45447891")</f>
        <v>rs45447891</v>
      </c>
      <c r="M38" s="2" t="str">
        <f aca="false">HYPERLINK("https://www.genecards.org/Search/Keyword?queryString=%5Baliases%5D(%20TTN%20)&amp;keywords=TTN", "TTN")</f>
        <v>TTN</v>
      </c>
      <c r="N38" s="2" t="s">
        <v>409</v>
      </c>
      <c r="O38" s="2" t="s">
        <v>410</v>
      </c>
      <c r="P38" s="2" t="s">
        <v>411</v>
      </c>
      <c r="Q38" s="2" t="n">
        <v>0.011364</v>
      </c>
      <c r="R38" s="2" t="n">
        <v>0.0064</v>
      </c>
      <c r="S38" s="2" t="n">
        <v>0.0068</v>
      </c>
      <c r="T38" s="2" t="n">
        <v>-1</v>
      </c>
      <c r="U38" s="2" t="n">
        <v>0.0051</v>
      </c>
      <c r="V38" s="2" t="s">
        <v>46</v>
      </c>
      <c r="W38" s="2" t="s">
        <v>46</v>
      </c>
      <c r="X38" s="2" t="s">
        <v>46</v>
      </c>
      <c r="Y38" s="2" t="s">
        <v>46</v>
      </c>
      <c r="Z38" s="2" t="s">
        <v>46</v>
      </c>
      <c r="AA38" s="2" t="s">
        <v>117</v>
      </c>
      <c r="AB38" s="2" t="s">
        <v>65</v>
      </c>
      <c r="AC38" s="2" t="s">
        <v>52</v>
      </c>
      <c r="AD38" s="2" t="s">
        <v>412</v>
      </c>
      <c r="AE38" s="2" t="s">
        <v>413</v>
      </c>
      <c r="AF38" s="2" t="s">
        <v>414</v>
      </c>
      <c r="AG38" s="2" t="s">
        <v>415</v>
      </c>
      <c r="AH38" s="2" t="s">
        <v>416</v>
      </c>
      <c r="AI38" s="2" t="s">
        <v>46</v>
      </c>
      <c r="AJ38" s="2" t="s">
        <v>46</v>
      </c>
      <c r="AK38" s="2" t="s">
        <v>46</v>
      </c>
      <c r="AL38" s="2" t="s">
        <v>46</v>
      </c>
    </row>
    <row r="39" customFormat="false" ht="15" hidden="false" customHeight="false" outlineLevel="0" collapsed="false">
      <c r="B39" s="0" t="str">
        <f aca="false">HYPERLINK("https://genome.ucsc.edu/cgi-bin/hgTracks?db=hg19&amp;position=chr15%3A43687362%2D43687362", "chr15:43687362")</f>
        <v>chr15:43687362</v>
      </c>
      <c r="C39" s="0" t="s">
        <v>362</v>
      </c>
      <c r="D39" s="0" t="n">
        <v>43687362</v>
      </c>
      <c r="E39" s="0" t="n">
        <v>43687362</v>
      </c>
      <c r="F39" s="0" t="s">
        <v>58</v>
      </c>
      <c r="G39" s="0" t="s">
        <v>72</v>
      </c>
      <c r="H39" s="0" t="s">
        <v>417</v>
      </c>
      <c r="I39" s="0" t="s">
        <v>418</v>
      </c>
      <c r="J39" s="0" t="s">
        <v>419</v>
      </c>
      <c r="K39" s="0" t="s">
        <v>46</v>
      </c>
      <c r="L39" s="0" t="str">
        <f aca="false">HYPERLINK("https://www.ncbi.nlm.nih.gov/snp/rs117773969", "rs117773969")</f>
        <v>rs117773969</v>
      </c>
      <c r="M39" s="0" t="str">
        <f aca="false">HYPERLINK("https://www.genecards.org/Search/Keyword?queryString=%5Baliases%5D(%20TUBGCP4%20)&amp;keywords=TUBGCP4", "TUBGCP4")</f>
        <v>TUBGCP4</v>
      </c>
      <c r="N39" s="0" t="s">
        <v>63</v>
      </c>
      <c r="O39" s="0" t="s">
        <v>46</v>
      </c>
      <c r="P39" s="0" t="s">
        <v>46</v>
      </c>
      <c r="Q39" s="0" t="n">
        <v>0.008</v>
      </c>
      <c r="R39" s="0" t="n">
        <v>0.0045</v>
      </c>
      <c r="S39" s="0" t="n">
        <v>0.0062</v>
      </c>
      <c r="T39" s="0" t="n">
        <v>-1</v>
      </c>
      <c r="U39" s="0" t="n">
        <v>0.0023</v>
      </c>
      <c r="V39" s="0" t="s">
        <v>46</v>
      </c>
      <c r="W39" s="0" t="s">
        <v>39</v>
      </c>
      <c r="X39" s="0" t="s">
        <v>385</v>
      </c>
      <c r="Y39" s="0" t="s">
        <v>50</v>
      </c>
      <c r="Z39" s="0" t="s">
        <v>46</v>
      </c>
      <c r="AA39" s="0" t="s">
        <v>46</v>
      </c>
      <c r="AB39" s="0" t="s">
        <v>65</v>
      </c>
      <c r="AC39" s="0" t="s">
        <v>52</v>
      </c>
      <c r="AD39" s="0" t="s">
        <v>53</v>
      </c>
      <c r="AE39" s="0" t="s">
        <v>420</v>
      </c>
      <c r="AF39" s="0" t="s">
        <v>421</v>
      </c>
      <c r="AG39" s="0" t="s">
        <v>422</v>
      </c>
      <c r="AH39" s="0" t="s">
        <v>46</v>
      </c>
      <c r="AI39" s="0" t="s">
        <v>46</v>
      </c>
      <c r="AJ39" s="0" t="s">
        <v>46</v>
      </c>
      <c r="AK39" s="0" t="s">
        <v>46</v>
      </c>
      <c r="AL39" s="0" t="s">
        <v>46</v>
      </c>
    </row>
    <row r="40" customFormat="false" ht="15" hidden="false" customHeight="false" outlineLevel="0" collapsed="false">
      <c r="B40" s="0" t="str">
        <f aca="false">HYPERLINK("https://genome.ucsc.edu/cgi-bin/hgTracks?db=hg19&amp;position=chr4%3A108853295%2D108853295", "chr4:108853295")</f>
        <v>chr4:108853295</v>
      </c>
      <c r="C40" s="0" t="s">
        <v>186</v>
      </c>
      <c r="D40" s="0" t="n">
        <v>108853295</v>
      </c>
      <c r="E40" s="0" t="n">
        <v>108853295</v>
      </c>
      <c r="F40" s="0" t="s">
        <v>40</v>
      </c>
      <c r="G40" s="0" t="s">
        <v>39</v>
      </c>
      <c r="H40" s="0" t="s">
        <v>423</v>
      </c>
      <c r="I40" s="0" t="s">
        <v>424</v>
      </c>
      <c r="J40" s="0" t="s">
        <v>425</v>
      </c>
      <c r="K40" s="0" t="s">
        <v>46</v>
      </c>
      <c r="L40" s="0" t="str">
        <f aca="false">HYPERLINK("https://www.ncbi.nlm.nih.gov/snp/rs147612190", "rs147612190")</f>
        <v>rs147612190</v>
      </c>
      <c r="M40" s="0" t="str">
        <f aca="false">HYPERLINK("https://www.genecards.org/Search/Keyword?queryString=%5Baliases%5D(%20CYP2U1%20)&amp;keywords=CYP2U1", "CYP2U1")</f>
        <v>CYP2U1</v>
      </c>
      <c r="N40" s="0" t="s">
        <v>366</v>
      </c>
      <c r="O40" s="0" t="s">
        <v>46</v>
      </c>
      <c r="P40" s="0" t="s">
        <v>46</v>
      </c>
      <c r="Q40" s="0" t="n">
        <v>0.0265</v>
      </c>
      <c r="R40" s="0" t="n">
        <v>0.0268</v>
      </c>
      <c r="S40" s="0" t="n">
        <v>0.0263</v>
      </c>
      <c r="T40" s="0" t="n">
        <v>-1</v>
      </c>
      <c r="U40" s="0" t="n">
        <v>0.0285</v>
      </c>
      <c r="V40" s="0" t="s">
        <v>46</v>
      </c>
      <c r="W40" s="0" t="s">
        <v>39</v>
      </c>
      <c r="X40" s="0" t="s">
        <v>46</v>
      </c>
      <c r="Y40" s="0" t="s">
        <v>46</v>
      </c>
      <c r="Z40" s="0" t="s">
        <v>46</v>
      </c>
      <c r="AA40" s="0" t="s">
        <v>46</v>
      </c>
      <c r="AB40" s="0" t="s">
        <v>81</v>
      </c>
      <c r="AC40" s="0" t="s">
        <v>52</v>
      </c>
      <c r="AD40" s="0" t="s">
        <v>53</v>
      </c>
      <c r="AE40" s="0" t="s">
        <v>426</v>
      </c>
      <c r="AF40" s="0" t="s">
        <v>427</v>
      </c>
      <c r="AG40" s="0" t="s">
        <v>428</v>
      </c>
      <c r="AH40" s="0" t="s">
        <v>429</v>
      </c>
      <c r="AI40" s="0" t="s">
        <v>46</v>
      </c>
      <c r="AJ40" s="0" t="s">
        <v>46</v>
      </c>
      <c r="AK40" s="0" t="s">
        <v>46</v>
      </c>
      <c r="AL40" s="0" t="s">
        <v>46</v>
      </c>
    </row>
    <row r="41" customFormat="false" ht="15" hidden="false" customHeight="false" outlineLevel="0" collapsed="false">
      <c r="B41" s="0" t="str">
        <f aca="false">HYPERLINK("https://genome.ucsc.edu/cgi-bin/hgTracks?db=hg19&amp;position=chr10%3A37419292%2D37419292", "chr10:37419292")</f>
        <v>chr10:37419292</v>
      </c>
      <c r="C41" s="0" t="s">
        <v>311</v>
      </c>
      <c r="D41" s="0" t="n">
        <v>37419292</v>
      </c>
      <c r="E41" s="0" t="n">
        <v>37419292</v>
      </c>
      <c r="F41" s="0" t="s">
        <v>58</v>
      </c>
      <c r="G41" s="0" t="s">
        <v>39</v>
      </c>
      <c r="H41" s="0" t="s">
        <v>430</v>
      </c>
      <c r="I41" s="0" t="s">
        <v>431</v>
      </c>
      <c r="J41" s="0" t="s">
        <v>432</v>
      </c>
      <c r="K41" s="0" t="s">
        <v>46</v>
      </c>
      <c r="L41" s="0" t="str">
        <f aca="false">HYPERLINK("https://www.ncbi.nlm.nih.gov/snp/rs116939015", "rs116939015")</f>
        <v>rs116939015</v>
      </c>
      <c r="M41" s="0" t="str">
        <f aca="false">HYPERLINK("https://www.genecards.org/Search/Keyword?queryString=%5Baliases%5D(%20ANKRD30A%20)&amp;keywords=ANKRD30A", "ANKRD30A")</f>
        <v>ANKRD30A</v>
      </c>
      <c r="N41" s="0" t="s">
        <v>77</v>
      </c>
      <c r="O41" s="0" t="s">
        <v>328</v>
      </c>
      <c r="P41" s="0" t="s">
        <v>433</v>
      </c>
      <c r="Q41" s="0" t="n">
        <v>0.0219</v>
      </c>
      <c r="R41" s="0" t="n">
        <v>0.0186</v>
      </c>
      <c r="S41" s="0" t="n">
        <v>0.0205</v>
      </c>
      <c r="T41" s="0" t="n">
        <v>-1</v>
      </c>
      <c r="U41" s="0" t="n">
        <v>0.0173</v>
      </c>
      <c r="V41" s="0" t="s">
        <v>48</v>
      </c>
      <c r="W41" s="0" t="s">
        <v>46</v>
      </c>
      <c r="X41" s="0" t="s">
        <v>46</v>
      </c>
      <c r="Y41" s="0" t="s">
        <v>46</v>
      </c>
      <c r="Z41" s="0" t="s">
        <v>51</v>
      </c>
      <c r="AA41" s="0" t="s">
        <v>105</v>
      </c>
      <c r="AB41" s="0" t="s">
        <v>46</v>
      </c>
      <c r="AC41" s="0" t="s">
        <v>52</v>
      </c>
      <c r="AD41" s="0" t="s">
        <v>53</v>
      </c>
      <c r="AE41" s="0" t="s">
        <v>434</v>
      </c>
      <c r="AF41" s="0" t="s">
        <v>435</v>
      </c>
      <c r="AG41" s="0" t="s">
        <v>46</v>
      </c>
      <c r="AH41" s="0" t="s">
        <v>46</v>
      </c>
      <c r="AI41" s="0" t="s">
        <v>46</v>
      </c>
      <c r="AJ41" s="0" t="s">
        <v>46</v>
      </c>
      <c r="AK41" s="0" t="s">
        <v>46</v>
      </c>
      <c r="AL41" s="0" t="s">
        <v>46</v>
      </c>
    </row>
    <row r="42" customFormat="false" ht="15" hidden="false" customHeight="false" outlineLevel="0" collapsed="false">
      <c r="B42" s="0" t="str">
        <f aca="false">HYPERLINK("https://genome.ucsc.edu/cgi-bin/hgTracks?db=hg19&amp;position=chr10%3A49207736%2D49207736", "chr10:49207736")</f>
        <v>chr10:49207736</v>
      </c>
      <c r="C42" s="0" t="s">
        <v>311</v>
      </c>
      <c r="D42" s="0" t="n">
        <v>49207736</v>
      </c>
      <c r="E42" s="0" t="n">
        <v>49207736</v>
      </c>
      <c r="F42" s="0" t="s">
        <v>40</v>
      </c>
      <c r="G42" s="0" t="s">
        <v>72</v>
      </c>
      <c r="H42" s="0" t="s">
        <v>436</v>
      </c>
      <c r="I42" s="0" t="s">
        <v>437</v>
      </c>
      <c r="J42" s="0" t="s">
        <v>438</v>
      </c>
      <c r="K42" s="0" t="s">
        <v>46</v>
      </c>
      <c r="L42" s="0" t="str">
        <f aca="false">HYPERLINK("https://www.ncbi.nlm.nih.gov/snp/rs80266306", "rs80266306")</f>
        <v>rs80266306</v>
      </c>
      <c r="M42" s="0" t="str">
        <f aca="false">HYPERLINK("https://www.genecards.org/Search/Keyword?queryString=%5Baliases%5D(%20FAM25C%20)%20OR%20%5Baliases%5D(%20FAM25G%20)&amp;keywords=FAM25C,FAM25G", "FAM25C;FAM25G")</f>
        <v>FAM25C;FAM25G</v>
      </c>
      <c r="N42" s="0" t="s">
        <v>77</v>
      </c>
      <c r="O42" s="0" t="s">
        <v>328</v>
      </c>
      <c r="P42" s="0" t="s">
        <v>439</v>
      </c>
      <c r="Q42" s="0" t="n">
        <v>0.0279</v>
      </c>
      <c r="R42" s="0" t="n">
        <v>0.0095</v>
      </c>
      <c r="S42" s="0" t="n">
        <v>0.0074</v>
      </c>
      <c r="T42" s="0" t="n">
        <v>-1</v>
      </c>
      <c r="U42" s="0" t="n">
        <v>0.01</v>
      </c>
      <c r="V42" s="0" t="s">
        <v>440</v>
      </c>
      <c r="W42" s="0" t="s">
        <v>46</v>
      </c>
      <c r="X42" s="0" t="s">
        <v>46</v>
      </c>
      <c r="Y42" s="0" t="s">
        <v>46</v>
      </c>
      <c r="Z42" s="0" t="s">
        <v>116</v>
      </c>
      <c r="AA42" s="0" t="s">
        <v>105</v>
      </c>
      <c r="AB42" s="0" t="s">
        <v>46</v>
      </c>
      <c r="AC42" s="0" t="s">
        <v>52</v>
      </c>
      <c r="AD42" s="0" t="s">
        <v>182</v>
      </c>
      <c r="AE42" s="0" t="s">
        <v>46</v>
      </c>
      <c r="AF42" s="0" t="s">
        <v>441</v>
      </c>
      <c r="AG42" s="0" t="s">
        <v>46</v>
      </c>
      <c r="AH42" s="0" t="s">
        <v>46</v>
      </c>
      <c r="AI42" s="0" t="s">
        <v>46</v>
      </c>
      <c r="AJ42" s="0" t="s">
        <v>46</v>
      </c>
      <c r="AK42" s="0" t="s">
        <v>46</v>
      </c>
      <c r="AL42" s="0" t="s">
        <v>195</v>
      </c>
    </row>
    <row r="43" customFormat="false" ht="15" hidden="false" customHeight="false" outlineLevel="0" collapsed="false">
      <c r="B43" s="0" t="str">
        <f aca="false">HYPERLINK("https://genome.ucsc.edu/cgi-bin/hgTracks?db=hg19&amp;position=chr10%3A126727587%2D126727587", "chr10:126727587")</f>
        <v>chr10:126727587</v>
      </c>
      <c r="C43" s="0" t="s">
        <v>311</v>
      </c>
      <c r="D43" s="0" t="n">
        <v>126727587</v>
      </c>
      <c r="E43" s="0" t="n">
        <v>126727587</v>
      </c>
      <c r="F43" s="0" t="s">
        <v>58</v>
      </c>
      <c r="G43" s="0" t="s">
        <v>72</v>
      </c>
      <c r="H43" s="0" t="s">
        <v>442</v>
      </c>
      <c r="I43" s="0" t="s">
        <v>443</v>
      </c>
      <c r="J43" s="0" t="s">
        <v>444</v>
      </c>
      <c r="K43" s="0" t="s">
        <v>46</v>
      </c>
      <c r="L43" s="0" t="s">
        <v>46</v>
      </c>
      <c r="M43" s="0" t="str">
        <f aca="false">HYPERLINK("https://www.genecards.org/Search/Keyword?queryString=%5Baliases%5D(%20CTBP2%20)&amp;keywords=CTBP2", "CTBP2")</f>
        <v>CTBP2</v>
      </c>
      <c r="N43" s="0" t="s">
        <v>77</v>
      </c>
      <c r="O43" s="0" t="s">
        <v>328</v>
      </c>
      <c r="P43" s="0" t="s">
        <v>445</v>
      </c>
      <c r="Q43" s="0" t="n">
        <v>-1</v>
      </c>
      <c r="R43" s="0" t="n">
        <v>-1</v>
      </c>
      <c r="S43" s="0" t="n">
        <v>-1</v>
      </c>
      <c r="T43" s="0" t="n">
        <v>-1</v>
      </c>
      <c r="U43" s="0" t="n">
        <v>-1</v>
      </c>
      <c r="V43" s="0" t="s">
        <v>48</v>
      </c>
      <c r="W43" s="0" t="s">
        <v>46</v>
      </c>
      <c r="X43" s="0" t="s">
        <v>46</v>
      </c>
      <c r="Y43" s="0" t="s">
        <v>46</v>
      </c>
      <c r="Z43" s="0" t="s">
        <v>270</v>
      </c>
      <c r="AA43" s="0" t="s">
        <v>105</v>
      </c>
      <c r="AB43" s="0" t="s">
        <v>46</v>
      </c>
      <c r="AC43" s="0" t="s">
        <v>52</v>
      </c>
      <c r="AD43" s="0" t="s">
        <v>346</v>
      </c>
      <c r="AE43" s="0" t="s">
        <v>446</v>
      </c>
      <c r="AF43" s="0" t="s">
        <v>447</v>
      </c>
      <c r="AG43" s="0" t="s">
        <v>448</v>
      </c>
      <c r="AH43" s="0" t="s">
        <v>46</v>
      </c>
      <c r="AI43" s="0" t="s">
        <v>46</v>
      </c>
      <c r="AJ43" s="0" t="s">
        <v>46</v>
      </c>
      <c r="AK43" s="0" t="s">
        <v>46</v>
      </c>
      <c r="AL43" s="0" t="s">
        <v>46</v>
      </c>
    </row>
    <row r="44" customFormat="false" ht="15" hidden="false" customHeight="false" outlineLevel="0" collapsed="false">
      <c r="B44" s="0" t="str">
        <f aca="false">HYPERLINK("https://genome.ucsc.edu/cgi-bin/hgTracks?db=hg19&amp;position=chr10%3A126727602%2D126727602", "chr10:126727602")</f>
        <v>chr10:126727602</v>
      </c>
      <c r="C44" s="0" t="s">
        <v>311</v>
      </c>
      <c r="D44" s="0" t="n">
        <v>126727602</v>
      </c>
      <c r="E44" s="0" t="n">
        <v>126727602</v>
      </c>
      <c r="F44" s="0" t="s">
        <v>39</v>
      </c>
      <c r="G44" s="0" t="s">
        <v>72</v>
      </c>
      <c r="H44" s="0" t="s">
        <v>449</v>
      </c>
      <c r="I44" s="0" t="s">
        <v>450</v>
      </c>
      <c r="J44" s="0" t="s">
        <v>451</v>
      </c>
      <c r="K44" s="0" t="s">
        <v>46</v>
      </c>
      <c r="L44" s="0" t="str">
        <f aca="false">HYPERLINK("https://www.ncbi.nlm.nih.gov/snp/rs76555439", "rs76555439")</f>
        <v>rs76555439</v>
      </c>
      <c r="M44" s="0" t="str">
        <f aca="false">HYPERLINK("https://www.genecards.org/Search/Keyword?queryString=%5Baliases%5D(%20CTBP2%20)&amp;keywords=CTBP2", "CTBP2")</f>
        <v>CTBP2</v>
      </c>
      <c r="N44" s="0" t="s">
        <v>77</v>
      </c>
      <c r="O44" s="0" t="s">
        <v>328</v>
      </c>
      <c r="P44" s="0" t="s">
        <v>452</v>
      </c>
      <c r="Q44" s="0" t="n">
        <v>2.59E-005</v>
      </c>
      <c r="R44" s="0" t="n">
        <v>-1</v>
      </c>
      <c r="S44" s="0" t="n">
        <v>-1</v>
      </c>
      <c r="T44" s="0" t="n">
        <v>-1</v>
      </c>
      <c r="U44" s="0" t="n">
        <v>-1</v>
      </c>
      <c r="V44" s="0" t="s">
        <v>48</v>
      </c>
      <c r="W44" s="0" t="s">
        <v>46</v>
      </c>
      <c r="X44" s="0" t="s">
        <v>46</v>
      </c>
      <c r="Y44" s="0" t="s">
        <v>46</v>
      </c>
      <c r="Z44" s="0" t="s">
        <v>250</v>
      </c>
      <c r="AA44" s="0" t="s">
        <v>105</v>
      </c>
      <c r="AB44" s="0" t="s">
        <v>46</v>
      </c>
      <c r="AC44" s="0" t="s">
        <v>52</v>
      </c>
      <c r="AD44" s="0" t="s">
        <v>346</v>
      </c>
      <c r="AE44" s="0" t="s">
        <v>446</v>
      </c>
      <c r="AF44" s="0" t="s">
        <v>447</v>
      </c>
      <c r="AG44" s="0" t="s">
        <v>448</v>
      </c>
      <c r="AH44" s="0" t="s">
        <v>46</v>
      </c>
      <c r="AI44" s="0" t="s">
        <v>46</v>
      </c>
      <c r="AJ44" s="0" t="s">
        <v>46</v>
      </c>
      <c r="AK44" s="0" t="s">
        <v>46</v>
      </c>
      <c r="AL44" s="0" t="s">
        <v>46</v>
      </c>
    </row>
    <row r="45" s="2" customFormat="true" ht="15" hidden="false" customHeight="false" outlineLevel="0" collapsed="false">
      <c r="B45" s="2" t="str">
        <f aca="false">HYPERLINK("https://genome.ucsc.edu/cgi-bin/hgTracks?db=hg19&amp;position=chr12%3A58217741%2D58217741", "chr12:58217741")</f>
        <v>chr12:58217741</v>
      </c>
      <c r="C45" s="2" t="s">
        <v>145</v>
      </c>
      <c r="D45" s="2" t="n">
        <v>58217741</v>
      </c>
      <c r="E45" s="2" t="n">
        <v>58217741</v>
      </c>
      <c r="F45" s="2" t="s">
        <v>40</v>
      </c>
      <c r="G45" s="2" t="s">
        <v>39</v>
      </c>
      <c r="H45" s="2" t="s">
        <v>453</v>
      </c>
      <c r="I45" s="2" t="s">
        <v>454</v>
      </c>
      <c r="J45" s="2" t="s">
        <v>455</v>
      </c>
      <c r="K45" s="2" t="s">
        <v>46</v>
      </c>
      <c r="L45" s="2" t="str">
        <f aca="false">HYPERLINK("https://www.ncbi.nlm.nih.gov/snp/rs74568739", "rs74568739")</f>
        <v>rs74568739</v>
      </c>
      <c r="M45" s="2" t="str">
        <f aca="false">HYPERLINK("https://www.genecards.org/Search/Keyword?queryString=%5Baliases%5D(%20CTDSP2%20)&amp;keywords=CTDSP2", "CTDSP2")</f>
        <v>CTDSP2</v>
      </c>
      <c r="N45" s="2" t="s">
        <v>409</v>
      </c>
      <c r="O45" s="2" t="s">
        <v>410</v>
      </c>
      <c r="P45" s="2" t="s">
        <v>456</v>
      </c>
      <c r="Q45" s="2" t="n">
        <v>6.5E-006</v>
      </c>
      <c r="R45" s="2" t="n">
        <v>-1</v>
      </c>
      <c r="S45" s="2" t="n">
        <v>-1</v>
      </c>
      <c r="T45" s="2" t="n">
        <v>-1</v>
      </c>
      <c r="U45" s="2" t="n">
        <v>-1</v>
      </c>
      <c r="V45" s="2" t="s">
        <v>319</v>
      </c>
      <c r="W45" s="2" t="s">
        <v>46</v>
      </c>
      <c r="X45" s="2" t="s">
        <v>46</v>
      </c>
      <c r="Y45" s="2" t="s">
        <v>46</v>
      </c>
      <c r="Z45" s="2" t="s">
        <v>104</v>
      </c>
      <c r="AA45" s="2" t="s">
        <v>105</v>
      </c>
      <c r="AB45" s="2" t="s">
        <v>46</v>
      </c>
      <c r="AC45" s="2" t="s">
        <v>52</v>
      </c>
      <c r="AD45" s="2" t="s">
        <v>94</v>
      </c>
      <c r="AE45" s="2" t="s">
        <v>457</v>
      </c>
      <c r="AF45" s="2" t="s">
        <v>458</v>
      </c>
      <c r="AG45" s="2" t="s">
        <v>459</v>
      </c>
      <c r="AH45" s="2" t="s">
        <v>46</v>
      </c>
      <c r="AI45" s="2" t="s">
        <v>46</v>
      </c>
      <c r="AJ45" s="2" t="s">
        <v>46</v>
      </c>
      <c r="AK45" s="2" t="s">
        <v>46</v>
      </c>
      <c r="AL45" s="2" t="s">
        <v>46</v>
      </c>
    </row>
    <row r="46" customFormat="false" ht="15" hidden="false" customHeight="false" outlineLevel="0" collapsed="false">
      <c r="B46" s="0" t="str">
        <f aca="false">HYPERLINK("https://genome.ucsc.edu/cgi-bin/hgTracks?db=hg19&amp;position=chr13%3A41768392%2D41768392", "chr13:41768392")</f>
        <v>chr13:41768392</v>
      </c>
      <c r="C46" s="0" t="s">
        <v>460</v>
      </c>
      <c r="D46" s="0" t="n">
        <v>41768392</v>
      </c>
      <c r="E46" s="0" t="n">
        <v>41768392</v>
      </c>
      <c r="F46" s="0" t="s">
        <v>72</v>
      </c>
      <c r="G46" s="0" t="s">
        <v>58</v>
      </c>
      <c r="H46" s="0" t="s">
        <v>461</v>
      </c>
      <c r="I46" s="0" t="s">
        <v>462</v>
      </c>
      <c r="J46" s="0" t="s">
        <v>463</v>
      </c>
      <c r="K46" s="0" t="s">
        <v>46</v>
      </c>
      <c r="L46" s="0" t="s">
        <v>46</v>
      </c>
      <c r="M46" s="0" t="str">
        <f aca="false">HYPERLINK("https://www.genecards.org/Search/Keyword?queryString=%5Baliases%5D(%20KBTBD7%20)&amp;keywords=KBTBD7", "KBTBD7")</f>
        <v>KBTBD7</v>
      </c>
      <c r="N46" s="0" t="s">
        <v>77</v>
      </c>
      <c r="O46" s="0" t="s">
        <v>464</v>
      </c>
      <c r="P46" s="0" t="s">
        <v>465</v>
      </c>
      <c r="Q46" s="0" t="n">
        <v>-1</v>
      </c>
      <c r="R46" s="0" t="n">
        <v>-1</v>
      </c>
      <c r="S46" s="0" t="n">
        <v>-1</v>
      </c>
      <c r="T46" s="0" t="n">
        <v>-1</v>
      </c>
      <c r="U46" s="0" t="n">
        <v>-1</v>
      </c>
      <c r="V46" s="0" t="s">
        <v>466</v>
      </c>
      <c r="W46" s="0" t="s">
        <v>46</v>
      </c>
      <c r="X46" s="0" t="s">
        <v>46</v>
      </c>
      <c r="Y46" s="0" t="s">
        <v>46</v>
      </c>
      <c r="Z46" s="0" t="s">
        <v>129</v>
      </c>
      <c r="AA46" s="0" t="s">
        <v>105</v>
      </c>
      <c r="AB46" s="0" t="s">
        <v>46</v>
      </c>
      <c r="AC46" s="0" t="s">
        <v>52</v>
      </c>
      <c r="AD46" s="0" t="s">
        <v>53</v>
      </c>
      <c r="AE46" s="0" t="s">
        <v>467</v>
      </c>
      <c r="AF46" s="0" t="s">
        <v>468</v>
      </c>
      <c r="AG46" s="0" t="s">
        <v>46</v>
      </c>
      <c r="AH46" s="0" t="s">
        <v>46</v>
      </c>
      <c r="AI46" s="0" t="s">
        <v>46</v>
      </c>
      <c r="AJ46" s="0" t="s">
        <v>46</v>
      </c>
      <c r="AK46" s="0" t="s">
        <v>46</v>
      </c>
      <c r="AL46" s="0" t="s">
        <v>397</v>
      </c>
    </row>
    <row r="47" customFormat="false" ht="15" hidden="false" customHeight="false" outlineLevel="0" collapsed="false">
      <c r="B47" s="0" t="str">
        <f aca="false">HYPERLINK("https://genome.ucsc.edu/cgi-bin/hgTracks?db=hg19&amp;position=chr15%3A73048750%2D73048750", "chr15:73048750")</f>
        <v>chr15:73048750</v>
      </c>
      <c r="C47" s="0" t="s">
        <v>362</v>
      </c>
      <c r="D47" s="0" t="n">
        <v>73048750</v>
      </c>
      <c r="E47" s="0" t="n">
        <v>73048750</v>
      </c>
      <c r="F47" s="0" t="s">
        <v>58</v>
      </c>
      <c r="G47" s="0" t="s">
        <v>72</v>
      </c>
      <c r="H47" s="0" t="s">
        <v>469</v>
      </c>
      <c r="I47" s="0" t="s">
        <v>470</v>
      </c>
      <c r="J47" s="0" t="s">
        <v>471</v>
      </c>
      <c r="K47" s="0" t="s">
        <v>46</v>
      </c>
      <c r="L47" s="0" t="str">
        <f aca="false">HYPERLINK("https://www.ncbi.nlm.nih.gov/snp/rs771819373", "rs771819373")</f>
        <v>rs771819373</v>
      </c>
      <c r="M47" s="0" t="str">
        <f aca="false">HYPERLINK("https://www.genecards.org/Search/Keyword?queryString=%5Baliases%5D(%20ADPGK%20)&amp;keywords=ADPGK", "ADPGK")</f>
        <v>ADPGK</v>
      </c>
      <c r="N47" s="0" t="s">
        <v>77</v>
      </c>
      <c r="O47" s="0" t="s">
        <v>328</v>
      </c>
      <c r="P47" s="0" t="s">
        <v>472</v>
      </c>
      <c r="Q47" s="0" t="n">
        <v>1.29E-005</v>
      </c>
      <c r="R47" s="0" t="n">
        <v>-1</v>
      </c>
      <c r="S47" s="0" t="n">
        <v>-1</v>
      </c>
      <c r="T47" s="0" t="n">
        <v>-1</v>
      </c>
      <c r="U47" s="0" t="n">
        <v>-1</v>
      </c>
      <c r="V47" s="0" t="s">
        <v>330</v>
      </c>
      <c r="W47" s="0" t="s">
        <v>46</v>
      </c>
      <c r="X47" s="0" t="s">
        <v>46</v>
      </c>
      <c r="Y47" s="0" t="s">
        <v>46</v>
      </c>
      <c r="Z47" s="0" t="s">
        <v>92</v>
      </c>
      <c r="AA47" s="0" t="s">
        <v>105</v>
      </c>
      <c r="AB47" s="0" t="s">
        <v>46</v>
      </c>
      <c r="AC47" s="0" t="s">
        <v>52</v>
      </c>
      <c r="AD47" s="0" t="s">
        <v>53</v>
      </c>
      <c r="AE47" s="0" t="s">
        <v>473</v>
      </c>
      <c r="AF47" s="0" t="s">
        <v>474</v>
      </c>
      <c r="AG47" s="0" t="s">
        <v>475</v>
      </c>
      <c r="AH47" s="0" t="s">
        <v>46</v>
      </c>
      <c r="AI47" s="0" t="s">
        <v>46</v>
      </c>
      <c r="AJ47" s="0" t="s">
        <v>46</v>
      </c>
      <c r="AK47" s="0" t="s">
        <v>46</v>
      </c>
      <c r="AL47" s="0" t="s">
        <v>46</v>
      </c>
    </row>
    <row r="48" customFormat="false" ht="15" hidden="false" customHeight="false" outlineLevel="0" collapsed="false">
      <c r="B48" s="0" t="str">
        <f aca="false">HYPERLINK("https://genome.ucsc.edu/cgi-bin/hgTracks?db=hg19&amp;position=chr19%3A40581406%2D40581406", "chr19:40581406")</f>
        <v>chr19:40581406</v>
      </c>
      <c r="C48" s="0" t="s">
        <v>38</v>
      </c>
      <c r="D48" s="0" t="n">
        <v>40581406</v>
      </c>
      <c r="E48" s="0" t="n">
        <v>40581406</v>
      </c>
      <c r="F48" s="0" t="s">
        <v>58</v>
      </c>
      <c r="G48" s="0" t="s">
        <v>72</v>
      </c>
      <c r="H48" s="0" t="s">
        <v>476</v>
      </c>
      <c r="I48" s="0" t="s">
        <v>477</v>
      </c>
      <c r="J48" s="0" t="s">
        <v>478</v>
      </c>
      <c r="K48" s="0" t="s">
        <v>46</v>
      </c>
      <c r="L48" s="0" t="str">
        <f aca="false">HYPERLINK("https://www.ncbi.nlm.nih.gov/snp/rs543325319", "rs543325319")</f>
        <v>rs543325319</v>
      </c>
      <c r="M48" s="0" t="str">
        <f aca="false">HYPERLINK("https://www.genecards.org/Search/Keyword?queryString=%5Baliases%5D(%20ZNF780A%20)&amp;keywords=ZNF780A", "ZNF780A")</f>
        <v>ZNF780A</v>
      </c>
      <c r="N48" s="0" t="s">
        <v>77</v>
      </c>
      <c r="O48" s="0" t="s">
        <v>328</v>
      </c>
      <c r="P48" s="0" t="s">
        <v>479</v>
      </c>
      <c r="Q48" s="0" t="n">
        <v>0.001</v>
      </c>
      <c r="R48" s="0" t="n">
        <v>0.0002</v>
      </c>
      <c r="S48" s="0" t="n">
        <v>0.0003</v>
      </c>
      <c r="T48" s="0" t="n">
        <v>-1</v>
      </c>
      <c r="U48" s="0" t="n">
        <v>-1</v>
      </c>
      <c r="V48" s="0" t="s">
        <v>319</v>
      </c>
      <c r="W48" s="0" t="s">
        <v>46</v>
      </c>
      <c r="X48" s="0" t="s">
        <v>46</v>
      </c>
      <c r="Y48" s="0" t="s">
        <v>46</v>
      </c>
      <c r="Z48" s="0" t="s">
        <v>104</v>
      </c>
      <c r="AA48" s="0" t="s">
        <v>105</v>
      </c>
      <c r="AB48" s="0" t="s">
        <v>46</v>
      </c>
      <c r="AC48" s="0" t="s">
        <v>52</v>
      </c>
      <c r="AD48" s="0" t="s">
        <v>53</v>
      </c>
      <c r="AE48" s="0" t="s">
        <v>480</v>
      </c>
      <c r="AF48" s="0" t="s">
        <v>481</v>
      </c>
      <c r="AG48" s="0" t="s">
        <v>56</v>
      </c>
      <c r="AH48" s="0" t="s">
        <v>46</v>
      </c>
      <c r="AI48" s="0" t="s">
        <v>46</v>
      </c>
      <c r="AJ48" s="0" t="s">
        <v>46</v>
      </c>
      <c r="AK48" s="0" t="s">
        <v>46</v>
      </c>
      <c r="AL48" s="0" t="s">
        <v>397</v>
      </c>
    </row>
    <row r="49" customFormat="false" ht="15" hidden="false" customHeight="false" outlineLevel="0" collapsed="false">
      <c r="B49" s="0" t="str">
        <f aca="false">HYPERLINK("https://genome.ucsc.edu/cgi-bin/hgTracks?db=hg19&amp;position=chr2%3A10930847%2D10930847", "chr2:10930847")</f>
        <v>chr2:10930847</v>
      </c>
      <c r="C49" s="0" t="s">
        <v>122</v>
      </c>
      <c r="D49" s="0" t="n">
        <v>10930847</v>
      </c>
      <c r="E49" s="0" t="n">
        <v>10930847</v>
      </c>
      <c r="F49" s="0" t="s">
        <v>40</v>
      </c>
      <c r="G49" s="0" t="s">
        <v>39</v>
      </c>
      <c r="H49" s="0" t="s">
        <v>482</v>
      </c>
      <c r="I49" s="0" t="s">
        <v>483</v>
      </c>
      <c r="J49" s="0" t="s">
        <v>484</v>
      </c>
      <c r="K49" s="0" t="s">
        <v>46</v>
      </c>
      <c r="L49" s="0" t="str">
        <f aca="false">HYPERLINK("https://www.ncbi.nlm.nih.gov/snp/rs150615615", "rs150615615")</f>
        <v>rs150615615</v>
      </c>
      <c r="M49" s="0" t="str">
        <f aca="false">HYPERLINK("https://www.genecards.org/Search/Keyword?queryString=%5Baliases%5D(%20PDIA6%20)&amp;keywords=PDIA6", "PDIA6")</f>
        <v>PDIA6</v>
      </c>
      <c r="N49" s="0" t="s">
        <v>77</v>
      </c>
      <c r="O49" s="0" t="s">
        <v>78</v>
      </c>
      <c r="P49" s="0" t="s">
        <v>485</v>
      </c>
      <c r="Q49" s="0" t="n">
        <v>0.0009</v>
      </c>
      <c r="R49" s="0" t="n">
        <v>0.0002</v>
      </c>
      <c r="S49" s="0" t="n">
        <v>0.0003</v>
      </c>
      <c r="T49" s="0" t="n">
        <v>-1</v>
      </c>
      <c r="U49" s="0" t="n">
        <v>0.0004</v>
      </c>
      <c r="V49" s="0" t="s">
        <v>291</v>
      </c>
      <c r="W49" s="0" t="s">
        <v>49</v>
      </c>
      <c r="X49" s="0" t="s">
        <v>46</v>
      </c>
      <c r="Y49" s="0" t="s">
        <v>46</v>
      </c>
      <c r="Z49" s="0" t="s">
        <v>151</v>
      </c>
      <c r="AA49" s="0" t="s">
        <v>105</v>
      </c>
      <c r="AB49" s="0" t="s">
        <v>46</v>
      </c>
      <c r="AC49" s="0" t="s">
        <v>52</v>
      </c>
      <c r="AD49" s="0" t="s">
        <v>53</v>
      </c>
      <c r="AE49" s="0" t="s">
        <v>486</v>
      </c>
      <c r="AF49" s="0" t="s">
        <v>487</v>
      </c>
      <c r="AG49" s="0" t="s">
        <v>488</v>
      </c>
      <c r="AH49" s="0" t="s">
        <v>46</v>
      </c>
      <c r="AI49" s="0" t="s">
        <v>46</v>
      </c>
      <c r="AJ49" s="0" t="s">
        <v>46</v>
      </c>
      <c r="AK49" s="0" t="s">
        <v>46</v>
      </c>
      <c r="AL49" s="0" t="s">
        <v>46</v>
      </c>
    </row>
    <row r="50" customFormat="false" ht="15" hidden="false" customHeight="false" outlineLevel="0" collapsed="false">
      <c r="B50" s="0" t="str">
        <f aca="false">HYPERLINK("https://genome.ucsc.edu/cgi-bin/hgTracks?db=hg19&amp;position=chr2%3A96519588%2D96519588", "chr2:96519588")</f>
        <v>chr2:96519588</v>
      </c>
      <c r="C50" s="0" t="s">
        <v>122</v>
      </c>
      <c r="D50" s="0" t="n">
        <v>96519588</v>
      </c>
      <c r="E50" s="0" t="n">
        <v>96519588</v>
      </c>
      <c r="F50" s="0" t="s">
        <v>58</v>
      </c>
      <c r="G50" s="0" t="s">
        <v>72</v>
      </c>
      <c r="H50" s="0" t="s">
        <v>489</v>
      </c>
      <c r="I50" s="0" t="s">
        <v>454</v>
      </c>
      <c r="J50" s="0" t="s">
        <v>490</v>
      </c>
      <c r="K50" s="0" t="s">
        <v>46</v>
      </c>
      <c r="L50" s="0" t="str">
        <f aca="false">HYPERLINK("https://www.ncbi.nlm.nih.gov/snp/rs56121945", "rs56121945")</f>
        <v>rs56121945</v>
      </c>
      <c r="M50" s="0" t="str">
        <f aca="false">HYPERLINK("https://www.genecards.org/Search/Keyword?queryString=%5Baliases%5D(%20ANKRD36C%20)&amp;keywords=ANKRD36C", "ANKRD36C")</f>
        <v>ANKRD36C</v>
      </c>
      <c r="N50" s="0" t="s">
        <v>491</v>
      </c>
      <c r="O50" s="0" t="s">
        <v>328</v>
      </c>
      <c r="P50" s="0" t="s">
        <v>492</v>
      </c>
      <c r="Q50" s="0" t="n">
        <v>0.0005045</v>
      </c>
      <c r="R50" s="0" t="n">
        <v>-1</v>
      </c>
      <c r="S50" s="0" t="n">
        <v>-1</v>
      </c>
      <c r="T50" s="0" t="n">
        <v>-1</v>
      </c>
      <c r="U50" s="0" t="n">
        <v>-1</v>
      </c>
      <c r="V50" s="0" t="s">
        <v>48</v>
      </c>
      <c r="W50" s="0" t="s">
        <v>46</v>
      </c>
      <c r="X50" s="0" t="s">
        <v>46</v>
      </c>
      <c r="Y50" s="0" t="s">
        <v>46</v>
      </c>
      <c r="Z50" s="0" t="s">
        <v>51</v>
      </c>
      <c r="AA50" s="0" t="s">
        <v>105</v>
      </c>
      <c r="AB50" s="0" t="s">
        <v>46</v>
      </c>
      <c r="AC50" s="0" t="s">
        <v>52</v>
      </c>
      <c r="AD50" s="0" t="s">
        <v>493</v>
      </c>
      <c r="AE50" s="0" t="s">
        <v>46</v>
      </c>
      <c r="AF50" s="0" t="s">
        <v>494</v>
      </c>
      <c r="AG50" s="0" t="s">
        <v>46</v>
      </c>
      <c r="AH50" s="0" t="s">
        <v>46</v>
      </c>
      <c r="AI50" s="0" t="s">
        <v>46</v>
      </c>
      <c r="AJ50" s="0" t="s">
        <v>46</v>
      </c>
      <c r="AK50" s="0" t="s">
        <v>46</v>
      </c>
      <c r="AL50" s="0" t="s">
        <v>46</v>
      </c>
    </row>
    <row r="51" customFormat="false" ht="15" hidden="false" customHeight="false" outlineLevel="0" collapsed="false">
      <c r="B51" s="0" t="str">
        <f aca="false">HYPERLINK("https://genome.ucsc.edu/cgi-bin/hgTracks?db=hg19&amp;position=chr2%3A96521337%2D96521337", "chr2:96521337")</f>
        <v>chr2:96521337</v>
      </c>
      <c r="C51" s="0" t="s">
        <v>122</v>
      </c>
      <c r="D51" s="0" t="n">
        <v>96521337</v>
      </c>
      <c r="E51" s="0" t="n">
        <v>96521337</v>
      </c>
      <c r="F51" s="0" t="s">
        <v>58</v>
      </c>
      <c r="G51" s="0" t="s">
        <v>72</v>
      </c>
      <c r="H51" s="0" t="s">
        <v>495</v>
      </c>
      <c r="I51" s="0" t="s">
        <v>496</v>
      </c>
      <c r="J51" s="0" t="s">
        <v>497</v>
      </c>
      <c r="K51" s="0" t="s">
        <v>46</v>
      </c>
      <c r="L51" s="0" t="str">
        <f aca="false">HYPERLINK("https://www.ncbi.nlm.nih.gov/snp/rs200422439", "rs200422439")</f>
        <v>rs200422439</v>
      </c>
      <c r="M51" s="0" t="str">
        <f aca="false">HYPERLINK("https://www.genecards.org/Search/Keyword?queryString=%5Baliases%5D(%20ANKRD36C%20)&amp;keywords=ANKRD36C", "ANKRD36C")</f>
        <v>ANKRD36C</v>
      </c>
      <c r="N51" s="0" t="s">
        <v>498</v>
      </c>
      <c r="O51" s="0" t="s">
        <v>328</v>
      </c>
      <c r="P51" s="0" t="s">
        <v>499</v>
      </c>
      <c r="Q51" s="0" t="n">
        <v>6.5E-006</v>
      </c>
      <c r="R51" s="0" t="n">
        <v>-1</v>
      </c>
      <c r="S51" s="0" t="n">
        <v>-1</v>
      </c>
      <c r="T51" s="0" t="n">
        <v>-1</v>
      </c>
      <c r="U51" s="0" t="n">
        <v>-1</v>
      </c>
      <c r="V51" s="0" t="s">
        <v>319</v>
      </c>
      <c r="W51" s="0" t="s">
        <v>46</v>
      </c>
      <c r="X51" s="0" t="s">
        <v>46</v>
      </c>
      <c r="Y51" s="0" t="s">
        <v>46</v>
      </c>
      <c r="Z51" s="0" t="s">
        <v>51</v>
      </c>
      <c r="AA51" s="0" t="s">
        <v>105</v>
      </c>
      <c r="AB51" s="0" t="s">
        <v>46</v>
      </c>
      <c r="AC51" s="0" t="s">
        <v>52</v>
      </c>
      <c r="AD51" s="0" t="s">
        <v>493</v>
      </c>
      <c r="AE51" s="0" t="s">
        <v>46</v>
      </c>
      <c r="AF51" s="0" t="s">
        <v>494</v>
      </c>
      <c r="AG51" s="0" t="s">
        <v>46</v>
      </c>
      <c r="AH51" s="0" t="s">
        <v>46</v>
      </c>
      <c r="AI51" s="0" t="s">
        <v>46</v>
      </c>
      <c r="AJ51" s="0" t="s">
        <v>46</v>
      </c>
      <c r="AK51" s="0" t="s">
        <v>46</v>
      </c>
      <c r="AL51" s="0" t="s">
        <v>46</v>
      </c>
    </row>
    <row r="52" customFormat="false" ht="15" hidden="false" customHeight="false" outlineLevel="0" collapsed="false">
      <c r="B52" s="0" t="str">
        <f aca="false">HYPERLINK("https://genome.ucsc.edu/cgi-bin/hgTracks?db=hg19&amp;position=chr20%3A45000219%2D45000219", "chr20:45000219")</f>
        <v>chr20:45000219</v>
      </c>
      <c r="C52" s="0" t="s">
        <v>213</v>
      </c>
      <c r="D52" s="0" t="n">
        <v>45000219</v>
      </c>
      <c r="E52" s="0" t="n">
        <v>45000219</v>
      </c>
      <c r="F52" s="0" t="s">
        <v>39</v>
      </c>
      <c r="G52" s="0" t="s">
        <v>40</v>
      </c>
      <c r="H52" s="0" t="s">
        <v>500</v>
      </c>
      <c r="I52" s="0" t="s">
        <v>206</v>
      </c>
      <c r="J52" s="0" t="s">
        <v>501</v>
      </c>
      <c r="K52" s="0" t="s">
        <v>46</v>
      </c>
      <c r="L52" s="0" t="s">
        <v>46</v>
      </c>
      <c r="M52" s="0" t="str">
        <f aca="false">HYPERLINK("https://www.genecards.org/Search/Keyword?queryString=%5Baliases%5D(%20ELMO2%20)&amp;keywords=ELMO2", "ELMO2")</f>
        <v>ELMO2</v>
      </c>
      <c r="N52" s="0" t="s">
        <v>77</v>
      </c>
      <c r="O52" s="0" t="s">
        <v>410</v>
      </c>
      <c r="P52" s="0" t="s">
        <v>502</v>
      </c>
      <c r="Q52" s="0" t="n">
        <v>-1</v>
      </c>
      <c r="R52" s="0" t="n">
        <v>-1</v>
      </c>
      <c r="S52" s="0" t="n">
        <v>-1</v>
      </c>
      <c r="T52" s="0" t="n">
        <v>-1</v>
      </c>
      <c r="U52" s="0" t="n">
        <v>-1</v>
      </c>
      <c r="V52" s="0" t="s">
        <v>46</v>
      </c>
      <c r="W52" s="0" t="s">
        <v>49</v>
      </c>
      <c r="X52" s="0" t="s">
        <v>46</v>
      </c>
      <c r="Y52" s="0" t="s">
        <v>46</v>
      </c>
      <c r="Z52" s="0" t="s">
        <v>46</v>
      </c>
      <c r="AA52" s="0" t="s">
        <v>105</v>
      </c>
      <c r="AB52" s="0" t="s">
        <v>46</v>
      </c>
      <c r="AC52" s="0" t="s">
        <v>52</v>
      </c>
      <c r="AD52" s="0" t="s">
        <v>53</v>
      </c>
      <c r="AE52" s="0" t="s">
        <v>503</v>
      </c>
      <c r="AF52" s="0" t="s">
        <v>504</v>
      </c>
      <c r="AG52" s="0" t="s">
        <v>505</v>
      </c>
      <c r="AH52" s="0" t="s">
        <v>46</v>
      </c>
      <c r="AI52" s="0" t="s">
        <v>46</v>
      </c>
      <c r="AJ52" s="0" t="s">
        <v>46</v>
      </c>
      <c r="AK52" s="0" t="s">
        <v>46</v>
      </c>
      <c r="AL52" s="0" t="s">
        <v>46</v>
      </c>
    </row>
    <row r="53" customFormat="false" ht="15" hidden="false" customHeight="false" outlineLevel="0" collapsed="false">
      <c r="B53" s="0" t="str">
        <f aca="false">HYPERLINK("https://genome.ucsc.edu/cgi-bin/hgTracks?db=hg19&amp;position=chr3%3A15288855%2D15288855", "chr3:15288855")</f>
        <v>chr3:15288855</v>
      </c>
      <c r="C53" s="0" t="s">
        <v>381</v>
      </c>
      <c r="D53" s="0" t="n">
        <v>15288855</v>
      </c>
      <c r="E53" s="0" t="n">
        <v>15288855</v>
      </c>
      <c r="F53" s="0" t="s">
        <v>40</v>
      </c>
      <c r="G53" s="0" t="s">
        <v>39</v>
      </c>
      <c r="H53" s="0" t="s">
        <v>506</v>
      </c>
      <c r="I53" s="0" t="s">
        <v>124</v>
      </c>
      <c r="J53" s="0" t="s">
        <v>507</v>
      </c>
      <c r="K53" s="0" t="s">
        <v>46</v>
      </c>
      <c r="L53" s="0" t="s">
        <v>46</v>
      </c>
      <c r="M53" s="0" t="str">
        <f aca="false">HYPERLINK("https://www.genecards.org/Search/Keyword?queryString=%5Baliases%5D(%20CAPN7%20)&amp;keywords=CAPN7", "CAPN7")</f>
        <v>CAPN7</v>
      </c>
      <c r="N53" s="0" t="s">
        <v>77</v>
      </c>
      <c r="O53" s="0" t="s">
        <v>328</v>
      </c>
      <c r="P53" s="0" t="s">
        <v>508</v>
      </c>
      <c r="Q53" s="0" t="n">
        <v>-1</v>
      </c>
      <c r="R53" s="0" t="n">
        <v>-1</v>
      </c>
      <c r="S53" s="0" t="n">
        <v>-1</v>
      </c>
      <c r="T53" s="0" t="n">
        <v>-1</v>
      </c>
      <c r="U53" s="0" t="n">
        <v>-1</v>
      </c>
      <c r="V53" s="0" t="s">
        <v>509</v>
      </c>
      <c r="W53" s="0" t="s">
        <v>46</v>
      </c>
      <c r="X53" s="0" t="s">
        <v>46</v>
      </c>
      <c r="Y53" s="0" t="s">
        <v>46</v>
      </c>
      <c r="Z53" s="0" t="s">
        <v>51</v>
      </c>
      <c r="AA53" s="0" t="s">
        <v>105</v>
      </c>
      <c r="AB53" s="0" t="s">
        <v>46</v>
      </c>
      <c r="AC53" s="0" t="s">
        <v>52</v>
      </c>
      <c r="AD53" s="0" t="s">
        <v>53</v>
      </c>
      <c r="AE53" s="0" t="s">
        <v>510</v>
      </c>
      <c r="AF53" s="0" t="s">
        <v>511</v>
      </c>
      <c r="AG53" s="0" t="s">
        <v>512</v>
      </c>
      <c r="AH53" s="0" t="s">
        <v>46</v>
      </c>
      <c r="AI53" s="0" t="s">
        <v>46</v>
      </c>
      <c r="AJ53" s="0" t="s">
        <v>46</v>
      </c>
      <c r="AK53" s="0" t="s">
        <v>46</v>
      </c>
      <c r="AL53" s="0" t="s">
        <v>46</v>
      </c>
    </row>
    <row r="54" customFormat="false" ht="15" hidden="false" customHeight="false" outlineLevel="0" collapsed="false">
      <c r="B54" s="0" t="str">
        <f aca="false">HYPERLINK("https://genome.ucsc.edu/cgi-bin/hgTracks?db=hg19&amp;position=chr3%3A48265003%2D48265003", "chr3:48265003")</f>
        <v>chr3:48265003</v>
      </c>
      <c r="C54" s="0" t="s">
        <v>381</v>
      </c>
      <c r="D54" s="0" t="n">
        <v>48265003</v>
      </c>
      <c r="E54" s="0" t="n">
        <v>48265003</v>
      </c>
      <c r="F54" s="0" t="s">
        <v>39</v>
      </c>
      <c r="G54" s="0" t="s">
        <v>40</v>
      </c>
      <c r="H54" s="0" t="s">
        <v>513</v>
      </c>
      <c r="I54" s="0" t="s">
        <v>514</v>
      </c>
      <c r="J54" s="0" t="s">
        <v>515</v>
      </c>
      <c r="K54" s="0" t="s">
        <v>46</v>
      </c>
      <c r="L54" s="0" t="str">
        <f aca="false">HYPERLINK("https://www.ncbi.nlm.nih.gov/snp/rs145296952", "rs145296952")</f>
        <v>rs145296952</v>
      </c>
      <c r="M54" s="0" t="str">
        <f aca="false">HYPERLINK("https://www.genecards.org/Search/Keyword?queryString=%5Baliases%5D(%20CAMP%20)&amp;keywords=CAMP", "CAMP")</f>
        <v>CAMP</v>
      </c>
      <c r="N54" s="0" t="s">
        <v>77</v>
      </c>
      <c r="O54" s="0" t="s">
        <v>516</v>
      </c>
      <c r="P54" s="0" t="s">
        <v>517</v>
      </c>
      <c r="Q54" s="0" t="n">
        <v>0.0106</v>
      </c>
      <c r="R54" s="0" t="n">
        <v>0.0114</v>
      </c>
      <c r="S54" s="0" t="n">
        <v>0.011</v>
      </c>
      <c r="T54" s="0" t="n">
        <v>-1</v>
      </c>
      <c r="U54" s="0" t="n">
        <v>0.0147</v>
      </c>
      <c r="V54" s="0" t="s">
        <v>518</v>
      </c>
      <c r="W54" s="0" t="s">
        <v>46</v>
      </c>
      <c r="X54" s="0" t="s">
        <v>46</v>
      </c>
      <c r="Y54" s="0" t="s">
        <v>46</v>
      </c>
      <c r="Z54" s="0" t="s">
        <v>129</v>
      </c>
      <c r="AA54" s="0" t="s">
        <v>105</v>
      </c>
      <c r="AB54" s="0" t="s">
        <v>46</v>
      </c>
      <c r="AC54" s="0" t="s">
        <v>52</v>
      </c>
      <c r="AD54" s="0" t="s">
        <v>53</v>
      </c>
      <c r="AE54" s="0" t="s">
        <v>519</v>
      </c>
      <c r="AF54" s="0" t="s">
        <v>520</v>
      </c>
      <c r="AG54" s="0" t="s">
        <v>521</v>
      </c>
      <c r="AH54" s="0" t="s">
        <v>46</v>
      </c>
      <c r="AI54" s="0" t="s">
        <v>46</v>
      </c>
      <c r="AJ54" s="0" t="s">
        <v>46</v>
      </c>
      <c r="AK54" s="0" t="s">
        <v>46</v>
      </c>
      <c r="AL54" s="0" t="s">
        <v>46</v>
      </c>
    </row>
    <row r="55" customFormat="false" ht="15" hidden="false" customHeight="false" outlineLevel="0" collapsed="false">
      <c r="B55" s="0" t="str">
        <f aca="false">HYPERLINK("https://genome.ucsc.edu/cgi-bin/hgTracks?db=hg19&amp;position=chr4%3A103826685%2D103826685", "chr4:103826685")</f>
        <v>chr4:103826685</v>
      </c>
      <c r="C55" s="0" t="s">
        <v>186</v>
      </c>
      <c r="D55" s="0" t="n">
        <v>103826685</v>
      </c>
      <c r="E55" s="0" t="n">
        <v>103826685</v>
      </c>
      <c r="F55" s="0" t="s">
        <v>39</v>
      </c>
      <c r="G55" s="0" t="s">
        <v>72</v>
      </c>
      <c r="H55" s="0" t="s">
        <v>522</v>
      </c>
      <c r="I55" s="0" t="s">
        <v>523</v>
      </c>
      <c r="J55" s="0" t="s">
        <v>524</v>
      </c>
      <c r="K55" s="0" t="s">
        <v>46</v>
      </c>
      <c r="L55" s="0" t="str">
        <f aca="false">HYPERLINK("https://www.ncbi.nlm.nih.gov/snp/rs77618489", "rs77618489")</f>
        <v>rs77618489</v>
      </c>
      <c r="M55" s="0" t="str">
        <f aca="false">HYPERLINK("https://www.genecards.org/Search/Keyword?queryString=%5Baliases%5D(%20SLC9B1%20)&amp;keywords=SLC9B1", "SLC9B1")</f>
        <v>SLC9B1</v>
      </c>
      <c r="N55" s="0" t="s">
        <v>77</v>
      </c>
      <c r="O55" s="0" t="s">
        <v>328</v>
      </c>
      <c r="P55" s="0" t="s">
        <v>525</v>
      </c>
      <c r="Q55" s="0" t="n">
        <v>0.0292</v>
      </c>
      <c r="R55" s="0" t="n">
        <v>0.0088</v>
      </c>
      <c r="S55" s="0" t="n">
        <v>0.0086</v>
      </c>
      <c r="T55" s="0" t="n">
        <v>-1</v>
      </c>
      <c r="U55" s="0" t="n">
        <v>0.0096</v>
      </c>
      <c r="V55" s="0" t="s">
        <v>330</v>
      </c>
      <c r="W55" s="0" t="s">
        <v>46</v>
      </c>
      <c r="X55" s="0" t="s">
        <v>46</v>
      </c>
      <c r="Y55" s="0" t="s">
        <v>46</v>
      </c>
      <c r="Z55" s="0" t="s">
        <v>51</v>
      </c>
      <c r="AA55" s="0" t="s">
        <v>105</v>
      </c>
      <c r="AB55" s="0" t="s">
        <v>46</v>
      </c>
      <c r="AC55" s="0" t="s">
        <v>52</v>
      </c>
      <c r="AD55" s="0" t="s">
        <v>94</v>
      </c>
      <c r="AE55" s="0" t="s">
        <v>526</v>
      </c>
      <c r="AF55" s="0" t="s">
        <v>527</v>
      </c>
      <c r="AG55" s="0" t="s">
        <v>46</v>
      </c>
      <c r="AH55" s="0" t="s">
        <v>46</v>
      </c>
      <c r="AI55" s="0" t="s">
        <v>46</v>
      </c>
      <c r="AJ55" s="0" t="s">
        <v>46</v>
      </c>
      <c r="AK55" s="0" t="s">
        <v>46</v>
      </c>
      <c r="AL55" s="0" t="s">
        <v>397</v>
      </c>
    </row>
    <row r="56" customFormat="false" ht="15" hidden="false" customHeight="false" outlineLevel="0" collapsed="false">
      <c r="B56" s="0" t="str">
        <f aca="false">HYPERLINK("https://genome.ucsc.edu/cgi-bin/hgTracks?db=hg19&amp;position=chr7%3A121716596%2D121716596", "chr7:121716596")</f>
        <v>chr7:121716596</v>
      </c>
      <c r="C56" s="0" t="s">
        <v>57</v>
      </c>
      <c r="D56" s="0" t="n">
        <v>121716596</v>
      </c>
      <c r="E56" s="0" t="n">
        <v>121716596</v>
      </c>
      <c r="F56" s="0" t="s">
        <v>58</v>
      </c>
      <c r="G56" s="0" t="s">
        <v>72</v>
      </c>
      <c r="H56" s="0" t="s">
        <v>528</v>
      </c>
      <c r="I56" s="0" t="s">
        <v>462</v>
      </c>
      <c r="J56" s="0" t="s">
        <v>529</v>
      </c>
      <c r="K56" s="0" t="s">
        <v>46</v>
      </c>
      <c r="L56" s="0" t="s">
        <v>46</v>
      </c>
      <c r="M56" s="0" t="str">
        <f aca="false">HYPERLINK("https://www.genecards.org/Search/Keyword?queryString=%5Baliases%5D(%20AASS%20)&amp;keywords=AASS", "AASS")</f>
        <v>AASS</v>
      </c>
      <c r="N56" s="0" t="s">
        <v>77</v>
      </c>
      <c r="O56" s="0" t="s">
        <v>328</v>
      </c>
      <c r="P56" s="0" t="s">
        <v>530</v>
      </c>
      <c r="Q56" s="0" t="n">
        <v>-1</v>
      </c>
      <c r="R56" s="0" t="n">
        <v>-1</v>
      </c>
      <c r="S56" s="0" t="n">
        <v>-1</v>
      </c>
      <c r="T56" s="0" t="n">
        <v>-1</v>
      </c>
      <c r="U56" s="0" t="n">
        <v>-1</v>
      </c>
      <c r="V56" s="0" t="s">
        <v>330</v>
      </c>
      <c r="W56" s="0" t="s">
        <v>46</v>
      </c>
      <c r="X56" s="0" t="s">
        <v>46</v>
      </c>
      <c r="Y56" s="0" t="s">
        <v>46</v>
      </c>
      <c r="Z56" s="0" t="s">
        <v>129</v>
      </c>
      <c r="AA56" s="0" t="s">
        <v>105</v>
      </c>
      <c r="AB56" s="0" t="s">
        <v>46</v>
      </c>
      <c r="AC56" s="0" t="s">
        <v>52</v>
      </c>
      <c r="AD56" s="0" t="s">
        <v>53</v>
      </c>
      <c r="AE56" s="0" t="s">
        <v>531</v>
      </c>
      <c r="AF56" s="0" t="s">
        <v>532</v>
      </c>
      <c r="AG56" s="0" t="s">
        <v>533</v>
      </c>
      <c r="AH56" s="0" t="s">
        <v>534</v>
      </c>
      <c r="AI56" s="0" t="s">
        <v>46</v>
      </c>
      <c r="AJ56" s="0" t="s">
        <v>46</v>
      </c>
      <c r="AK56" s="0" t="s">
        <v>46</v>
      </c>
      <c r="AL56" s="0" t="s">
        <v>46</v>
      </c>
    </row>
    <row r="57" customFormat="false" ht="15" hidden="false" customHeight="false" outlineLevel="0" collapsed="false">
      <c r="B57" s="0" t="str">
        <f aca="false">HYPERLINK("https://genome.ucsc.edu/cgi-bin/hgTracks?db=hg19&amp;position=chr8%3A145577618%2D145577618", "chr8:145577618")</f>
        <v>chr8:145577618</v>
      </c>
      <c r="C57" s="0" t="s">
        <v>535</v>
      </c>
      <c r="D57" s="0" t="n">
        <v>145577618</v>
      </c>
      <c r="E57" s="0" t="n">
        <v>145577618</v>
      </c>
      <c r="F57" s="0" t="s">
        <v>58</v>
      </c>
      <c r="G57" s="0" t="s">
        <v>72</v>
      </c>
      <c r="H57" s="0" t="s">
        <v>536</v>
      </c>
      <c r="I57" s="0" t="s">
        <v>537</v>
      </c>
      <c r="J57" s="0" t="s">
        <v>538</v>
      </c>
      <c r="K57" s="0" t="s">
        <v>46</v>
      </c>
      <c r="L57" s="0" t="str">
        <f aca="false">HYPERLINK("https://www.ncbi.nlm.nih.gov/snp/rs145236969", "rs145236969")</f>
        <v>rs145236969</v>
      </c>
      <c r="M57" s="0" t="str">
        <f aca="false">HYPERLINK("https://www.genecards.org/Search/Keyword?queryString=%5Baliases%5D(%20TMEM249%20)&amp;keywords=TMEM249", "TMEM249")</f>
        <v>TMEM249</v>
      </c>
      <c r="N57" s="0" t="s">
        <v>77</v>
      </c>
      <c r="O57" s="0" t="s">
        <v>328</v>
      </c>
      <c r="P57" s="0" t="s">
        <v>539</v>
      </c>
      <c r="Q57" s="0" t="n">
        <v>0.0241</v>
      </c>
      <c r="R57" s="0" t="n">
        <v>0.0048</v>
      </c>
      <c r="S57" s="0" t="n">
        <v>0.0057</v>
      </c>
      <c r="T57" s="0" t="n">
        <v>-1</v>
      </c>
      <c r="U57" s="0" t="n">
        <v>0.0033</v>
      </c>
      <c r="V57" s="0" t="s">
        <v>540</v>
      </c>
      <c r="W57" s="0" t="s">
        <v>46</v>
      </c>
      <c r="X57" s="0" t="s">
        <v>46</v>
      </c>
      <c r="Y57" s="0" t="s">
        <v>46</v>
      </c>
      <c r="Z57" s="0" t="s">
        <v>104</v>
      </c>
      <c r="AA57" s="0" t="s">
        <v>105</v>
      </c>
      <c r="AB57" s="0" t="s">
        <v>46</v>
      </c>
      <c r="AC57" s="0" t="s">
        <v>52</v>
      </c>
      <c r="AD57" s="0" t="s">
        <v>53</v>
      </c>
      <c r="AE57" s="0" t="s">
        <v>541</v>
      </c>
      <c r="AF57" s="0" t="s">
        <v>542</v>
      </c>
      <c r="AG57" s="0" t="s">
        <v>46</v>
      </c>
      <c r="AH57" s="0" t="s">
        <v>46</v>
      </c>
      <c r="AI57" s="0" t="s">
        <v>46</v>
      </c>
      <c r="AJ57" s="0" t="s">
        <v>46</v>
      </c>
      <c r="AK57" s="0" t="s">
        <v>46</v>
      </c>
      <c r="AL57" s="0" t="s">
        <v>46</v>
      </c>
    </row>
    <row r="58" customFormat="false" ht="15" hidden="false" customHeight="false" outlineLevel="0" collapsed="false">
      <c r="B58" s="0" t="str">
        <f aca="false">HYPERLINK("https://genome.ucsc.edu/cgi-bin/hgTracks?db=hg19&amp;position=chr9%3A90538243%2D90538243", "chr9:90538243")</f>
        <v>chr9:90538243</v>
      </c>
      <c r="C58" s="0" t="s">
        <v>275</v>
      </c>
      <c r="D58" s="0" t="n">
        <v>90538243</v>
      </c>
      <c r="E58" s="0" t="n">
        <v>90538243</v>
      </c>
      <c r="F58" s="0" t="s">
        <v>40</v>
      </c>
      <c r="G58" s="0" t="s">
        <v>39</v>
      </c>
      <c r="H58" s="0" t="s">
        <v>543</v>
      </c>
      <c r="I58" s="0" t="s">
        <v>544</v>
      </c>
      <c r="J58" s="0" t="s">
        <v>545</v>
      </c>
      <c r="K58" s="0" t="s">
        <v>46</v>
      </c>
      <c r="L58" s="0" t="str">
        <f aca="false">HYPERLINK("https://www.ncbi.nlm.nih.gov/snp/rs595203", "rs595203")</f>
        <v>rs595203</v>
      </c>
      <c r="M58" s="0" t="str">
        <f aca="false">HYPERLINK("https://www.genecards.org/Search/Keyword?queryString=%5Baliases%5D(%20SPATA31C1%20)&amp;keywords=SPATA31C1", "SPATA31C1")</f>
        <v>SPATA31C1</v>
      </c>
      <c r="N58" s="0" t="s">
        <v>546</v>
      </c>
      <c r="O58" s="0" t="s">
        <v>328</v>
      </c>
      <c r="P58" s="0" t="s">
        <v>547</v>
      </c>
      <c r="Q58" s="0" t="n">
        <v>0.014</v>
      </c>
      <c r="R58" s="0" t="n">
        <v>0.0125</v>
      </c>
      <c r="S58" s="0" t="n">
        <v>0.0146</v>
      </c>
      <c r="T58" s="0" t="n">
        <v>-1</v>
      </c>
      <c r="U58" s="0" t="n">
        <v>0.0114</v>
      </c>
      <c r="V58" s="0" t="s">
        <v>46</v>
      </c>
      <c r="W58" s="0" t="s">
        <v>46</v>
      </c>
      <c r="X58" s="0" t="s">
        <v>46</v>
      </c>
      <c r="Y58" s="0" t="s">
        <v>46</v>
      </c>
      <c r="Z58" s="0" t="s">
        <v>46</v>
      </c>
      <c r="AA58" s="0" t="s">
        <v>105</v>
      </c>
      <c r="AB58" s="0" t="s">
        <v>46</v>
      </c>
      <c r="AC58" s="0" t="s">
        <v>52</v>
      </c>
      <c r="AD58" s="0" t="s">
        <v>53</v>
      </c>
      <c r="AE58" s="0" t="s">
        <v>46</v>
      </c>
      <c r="AF58" s="0" t="s">
        <v>548</v>
      </c>
      <c r="AG58" s="0" t="s">
        <v>549</v>
      </c>
      <c r="AH58" s="0" t="s">
        <v>46</v>
      </c>
      <c r="AI58" s="0" t="s">
        <v>46</v>
      </c>
      <c r="AJ58" s="0" t="s">
        <v>46</v>
      </c>
      <c r="AK58" s="0" t="s">
        <v>46</v>
      </c>
      <c r="AL58" s="0" t="s">
        <v>195</v>
      </c>
    </row>
    <row r="59" customFormat="false" ht="15" hidden="false" customHeight="false" outlineLevel="0" collapsed="false">
      <c r="A59" s="5"/>
      <c r="B59" s="5" t="str">
        <f aca="false">HYPERLINK("https://genome.ucsc.edu/cgi-bin/hgTracks?db=hg19&amp;position=chr1%3A117142868%2D117142868", "chr1:117142868")</f>
        <v>chr1:117142868</v>
      </c>
      <c r="C59" s="5" t="s">
        <v>71</v>
      </c>
      <c r="D59" s="5" t="n">
        <v>117142868</v>
      </c>
      <c r="E59" s="5" t="n">
        <v>117142868</v>
      </c>
      <c r="F59" s="5" t="s">
        <v>40</v>
      </c>
      <c r="G59" s="5" t="s">
        <v>39</v>
      </c>
      <c r="H59" s="5" t="s">
        <v>550</v>
      </c>
      <c r="I59" s="5" t="s">
        <v>551</v>
      </c>
      <c r="J59" s="5" t="s">
        <v>552</v>
      </c>
      <c r="K59" s="5" t="s">
        <v>46</v>
      </c>
      <c r="L59" s="5" t="str">
        <f aca="false">HYPERLINK("https://www.ncbi.nlm.nih.gov/snp/rs61730489", "rs61730489")</f>
        <v>rs61730489</v>
      </c>
      <c r="M59" s="5" t="str">
        <f aca="false">HYPERLINK("https://www.genecards.org/Search/Keyword?queryString=%5Baliases%5D(%20IGSF3%20)&amp;keywords=IGSF3", "IGSF3")</f>
        <v>IGSF3</v>
      </c>
      <c r="N59" s="5" t="s">
        <v>77</v>
      </c>
      <c r="O59" s="5" t="s">
        <v>328</v>
      </c>
      <c r="P59" s="5" t="s">
        <v>553</v>
      </c>
      <c r="Q59" s="5" t="n">
        <v>0.0001</v>
      </c>
      <c r="R59" s="5" t="n">
        <v>0.0001</v>
      </c>
      <c r="S59" s="5" t="n">
        <v>0.0003</v>
      </c>
      <c r="T59" s="5" t="n">
        <v>-1</v>
      </c>
      <c r="U59" s="5" t="n">
        <v>0.0002</v>
      </c>
      <c r="V59" s="5" t="s">
        <v>330</v>
      </c>
      <c r="W59" s="5" t="s">
        <v>46</v>
      </c>
      <c r="X59" s="5" t="s">
        <v>46</v>
      </c>
      <c r="Y59" s="5" t="s">
        <v>46</v>
      </c>
      <c r="Z59" s="5" t="s">
        <v>92</v>
      </c>
      <c r="AA59" s="5" t="s">
        <v>181</v>
      </c>
      <c r="AB59" s="5" t="s">
        <v>46</v>
      </c>
      <c r="AC59" s="5" t="s">
        <v>52</v>
      </c>
      <c r="AD59" s="5" t="s">
        <v>412</v>
      </c>
      <c r="AE59" s="5" t="s">
        <v>554</v>
      </c>
      <c r="AF59" s="5" t="s">
        <v>555</v>
      </c>
      <c r="AG59" s="5" t="s">
        <v>46</v>
      </c>
      <c r="AH59" s="5" t="s">
        <v>46</v>
      </c>
      <c r="AI59" s="5" t="s">
        <v>46</v>
      </c>
      <c r="AJ59" s="5" t="s">
        <v>46</v>
      </c>
      <c r="AK59" s="5" t="s">
        <v>46</v>
      </c>
      <c r="AL59" s="5" t="s">
        <v>195</v>
      </c>
    </row>
    <row r="60" customFormat="false" ht="15" hidden="false" customHeight="false" outlineLevel="0" collapsed="false">
      <c r="A60" s="5"/>
      <c r="B60" s="5" t="str">
        <f aca="false">HYPERLINK("https://genome.ucsc.edu/cgi-bin/hgTracks?db=hg19&amp;position=chr1%3A117156585%2D117156585", "chr1:117156585")</f>
        <v>chr1:117156585</v>
      </c>
      <c r="C60" s="5" t="s">
        <v>71</v>
      </c>
      <c r="D60" s="5" t="n">
        <v>117156585</v>
      </c>
      <c r="E60" s="5" t="n">
        <v>117156585</v>
      </c>
      <c r="F60" s="5" t="s">
        <v>58</v>
      </c>
      <c r="G60" s="5" t="s">
        <v>72</v>
      </c>
      <c r="H60" s="5" t="s">
        <v>556</v>
      </c>
      <c r="I60" s="5" t="s">
        <v>557</v>
      </c>
      <c r="J60" s="5" t="s">
        <v>558</v>
      </c>
      <c r="K60" s="5" t="s">
        <v>46</v>
      </c>
      <c r="L60" s="5" t="str">
        <f aca="false">HYPERLINK("https://www.ncbi.nlm.nih.gov/snp/rs139013364", "rs139013364")</f>
        <v>rs139013364</v>
      </c>
      <c r="M60" s="5" t="str">
        <f aca="false">HYPERLINK("https://www.genecards.org/Search/Keyword?queryString=%5Baliases%5D(%20IGSF3%20)&amp;keywords=IGSF3", "IGSF3")</f>
        <v>IGSF3</v>
      </c>
      <c r="N60" s="5" t="s">
        <v>77</v>
      </c>
      <c r="O60" s="5" t="s">
        <v>328</v>
      </c>
      <c r="P60" s="5" t="s">
        <v>559</v>
      </c>
      <c r="Q60" s="5" t="n">
        <v>0.0011513</v>
      </c>
      <c r="R60" s="5" t="n">
        <v>-1</v>
      </c>
      <c r="S60" s="5" t="n">
        <v>-1</v>
      </c>
      <c r="T60" s="5" t="n">
        <v>-1</v>
      </c>
      <c r="U60" s="5" t="n">
        <v>-1</v>
      </c>
      <c r="V60" s="5" t="s">
        <v>330</v>
      </c>
      <c r="W60" s="5" t="s">
        <v>46</v>
      </c>
      <c r="X60" s="5" t="s">
        <v>46</v>
      </c>
      <c r="Y60" s="5" t="s">
        <v>46</v>
      </c>
      <c r="Z60" s="5" t="s">
        <v>250</v>
      </c>
      <c r="AA60" s="5" t="s">
        <v>181</v>
      </c>
      <c r="AB60" s="5" t="s">
        <v>46</v>
      </c>
      <c r="AC60" s="5" t="s">
        <v>52</v>
      </c>
      <c r="AD60" s="5" t="s">
        <v>412</v>
      </c>
      <c r="AE60" s="5" t="s">
        <v>554</v>
      </c>
      <c r="AF60" s="5" t="s">
        <v>555</v>
      </c>
      <c r="AG60" s="5" t="s">
        <v>46</v>
      </c>
      <c r="AH60" s="5" t="s">
        <v>46</v>
      </c>
      <c r="AI60" s="5" t="s">
        <v>46</v>
      </c>
      <c r="AJ60" s="5" t="s">
        <v>46</v>
      </c>
      <c r="AK60" s="5" t="s">
        <v>46</v>
      </c>
      <c r="AL60" s="5" t="s">
        <v>397</v>
      </c>
    </row>
    <row r="61" customFormat="false" ht="15" hidden="false" customHeight="false" outlineLevel="0" collapsed="false">
      <c r="A61" s="2"/>
      <c r="B61" s="2" t="str">
        <f aca="false">HYPERLINK("https://genome.ucsc.edu/cgi-bin/hgTracks?db=hg19&amp;position=chr1%3A46726525%2D46726525", "chr1:46726525")</f>
        <v>chr1:46726525</v>
      </c>
      <c r="C61" s="2" t="s">
        <v>71</v>
      </c>
      <c r="D61" s="2" t="n">
        <v>46726525</v>
      </c>
      <c r="E61" s="2" t="n">
        <v>46726525</v>
      </c>
      <c r="F61" s="2" t="s">
        <v>40</v>
      </c>
      <c r="G61" s="2" t="s">
        <v>39</v>
      </c>
      <c r="H61" s="2" t="s">
        <v>560</v>
      </c>
      <c r="I61" s="2" t="s">
        <v>437</v>
      </c>
      <c r="J61" s="2" t="s">
        <v>561</v>
      </c>
      <c r="K61" s="2" t="s">
        <v>46</v>
      </c>
      <c r="L61" s="2" t="str">
        <f aca="false">HYPERLINK("https://www.ncbi.nlm.nih.gov/snp/rs28363218", "rs28363218")</f>
        <v>rs28363218</v>
      </c>
      <c r="M61" s="2" t="str">
        <f aca="false">HYPERLINK("https://www.genecards.org/Search/Keyword?queryString=%5Baliases%5D(%20RAD54L%20)&amp;keywords=RAD54L", "RAD54L")</f>
        <v>RAD54L</v>
      </c>
      <c r="N61" s="2" t="s">
        <v>77</v>
      </c>
      <c r="O61" s="2" t="s">
        <v>78</v>
      </c>
      <c r="P61" s="2" t="s">
        <v>562</v>
      </c>
      <c r="Q61" s="2" t="n">
        <v>0.0089</v>
      </c>
      <c r="R61" s="2" t="n">
        <v>0.0027</v>
      </c>
      <c r="S61" s="2" t="n">
        <v>0.0029</v>
      </c>
      <c r="T61" s="2" t="n">
        <v>-1</v>
      </c>
      <c r="U61" s="2" t="n">
        <v>0.0041</v>
      </c>
      <c r="V61" s="2" t="s">
        <v>115</v>
      </c>
      <c r="W61" s="2" t="s">
        <v>46</v>
      </c>
      <c r="X61" s="2" t="s">
        <v>46</v>
      </c>
      <c r="Y61" s="2" t="s">
        <v>46</v>
      </c>
      <c r="Z61" s="2" t="s">
        <v>51</v>
      </c>
      <c r="AA61" s="2" t="s">
        <v>93</v>
      </c>
      <c r="AB61" s="2" t="s">
        <v>46</v>
      </c>
      <c r="AC61" s="2" t="s">
        <v>52</v>
      </c>
      <c r="AD61" s="2" t="s">
        <v>53</v>
      </c>
      <c r="AE61" s="2" t="s">
        <v>563</v>
      </c>
      <c r="AF61" s="2" t="s">
        <v>564</v>
      </c>
      <c r="AG61" s="2" t="s">
        <v>565</v>
      </c>
      <c r="AH61" s="2" t="s">
        <v>46</v>
      </c>
      <c r="AI61" s="2" t="s">
        <v>46</v>
      </c>
      <c r="AJ61" s="2" t="s">
        <v>46</v>
      </c>
      <c r="AK61" s="2" t="s">
        <v>46</v>
      </c>
      <c r="AL61" s="2" t="s">
        <v>46</v>
      </c>
    </row>
    <row r="62" customFormat="false" ht="15" hidden="false" customHeight="false" outlineLevel="0" collapsed="false">
      <c r="B62" s="0" t="str">
        <f aca="false">HYPERLINK("https://genome.ucsc.edu/cgi-bin/hgTracks?db=hg19&amp;position=chr1%3A117158898%2D117158898", "chr1:117158898")</f>
        <v>chr1:117158898</v>
      </c>
      <c r="C62" s="0" t="s">
        <v>71</v>
      </c>
      <c r="D62" s="0" t="n">
        <v>117158898</v>
      </c>
      <c r="E62" s="0" t="n">
        <v>117158898</v>
      </c>
      <c r="F62" s="0" t="s">
        <v>40</v>
      </c>
      <c r="G62" s="0" t="s">
        <v>39</v>
      </c>
      <c r="H62" s="0" t="s">
        <v>566</v>
      </c>
      <c r="I62" s="0" t="s">
        <v>567</v>
      </c>
      <c r="J62" s="0" t="s">
        <v>568</v>
      </c>
      <c r="K62" s="0" t="s">
        <v>46</v>
      </c>
      <c r="L62" s="0" t="str">
        <f aca="false">HYPERLINK("https://www.ncbi.nlm.nih.gov/snp/rs186152746", "rs186152746")</f>
        <v>rs186152746</v>
      </c>
      <c r="M62" s="0" t="str">
        <f aca="false">HYPERLINK("https://www.genecards.org/Search/Keyword?queryString=%5Baliases%5D(%20IGSF3%20)&amp;keywords=IGSF3", "IGSF3")</f>
        <v>IGSF3</v>
      </c>
      <c r="N62" s="0" t="s">
        <v>77</v>
      </c>
      <c r="O62" s="0" t="s">
        <v>516</v>
      </c>
      <c r="P62" s="0" t="s">
        <v>569</v>
      </c>
      <c r="Q62" s="0" t="n">
        <v>6.5E-006</v>
      </c>
      <c r="R62" s="0" t="n">
        <v>-1</v>
      </c>
      <c r="S62" s="0" t="n">
        <v>-1</v>
      </c>
      <c r="T62" s="0" t="n">
        <v>-1</v>
      </c>
      <c r="U62" s="0" t="n">
        <v>-1</v>
      </c>
      <c r="V62" s="0" t="s">
        <v>570</v>
      </c>
      <c r="W62" s="0" t="s">
        <v>46</v>
      </c>
      <c r="X62" s="0" t="s">
        <v>46</v>
      </c>
      <c r="Y62" s="0" t="s">
        <v>46</v>
      </c>
      <c r="Z62" s="0" t="s">
        <v>104</v>
      </c>
      <c r="AA62" s="0" t="s">
        <v>117</v>
      </c>
      <c r="AB62" s="0" t="s">
        <v>46</v>
      </c>
      <c r="AC62" s="0" t="s">
        <v>52</v>
      </c>
      <c r="AD62" s="0" t="s">
        <v>412</v>
      </c>
      <c r="AE62" s="0" t="s">
        <v>554</v>
      </c>
      <c r="AF62" s="0" t="s">
        <v>555</v>
      </c>
      <c r="AG62" s="0" t="s">
        <v>46</v>
      </c>
      <c r="AH62" s="0" t="s">
        <v>46</v>
      </c>
      <c r="AI62" s="0" t="s">
        <v>46</v>
      </c>
      <c r="AJ62" s="0" t="s">
        <v>46</v>
      </c>
      <c r="AK62" s="0" t="s">
        <v>46</v>
      </c>
      <c r="AL62" s="0" t="s">
        <v>195</v>
      </c>
    </row>
    <row r="63" customFormat="false" ht="15" hidden="false" customHeight="false" outlineLevel="0" collapsed="false">
      <c r="B63" s="0" t="str">
        <f aca="false">HYPERLINK("https://genome.ucsc.edu/cgi-bin/hgTracks?db=hg19&amp;position=chr15%3A30112768%2D30112768", "chr15:30112768")</f>
        <v>chr15:30112768</v>
      </c>
      <c r="C63" s="0" t="s">
        <v>362</v>
      </c>
      <c r="D63" s="0" t="n">
        <v>30112768</v>
      </c>
      <c r="E63" s="0" t="n">
        <v>30112768</v>
      </c>
      <c r="F63" s="0" t="s">
        <v>39</v>
      </c>
      <c r="G63" s="0" t="s">
        <v>40</v>
      </c>
      <c r="H63" s="0" t="s">
        <v>571</v>
      </c>
      <c r="I63" s="0" t="s">
        <v>572</v>
      </c>
      <c r="J63" s="0" t="s">
        <v>573</v>
      </c>
      <c r="K63" s="0" t="s">
        <v>46</v>
      </c>
      <c r="L63" s="0" t="str">
        <f aca="false">HYPERLINK("https://www.ncbi.nlm.nih.gov/snp/rs143873965", "rs143873965")</f>
        <v>rs143873965</v>
      </c>
      <c r="M63" s="0" t="str">
        <f aca="false">HYPERLINK("https://www.genecards.org/Search/Keyword?queryString=%5Baliases%5D(%20TJP1%20)&amp;keywords=TJP1", "TJP1")</f>
        <v>TJP1</v>
      </c>
      <c r="N63" s="0" t="s">
        <v>77</v>
      </c>
      <c r="O63" s="0" t="s">
        <v>464</v>
      </c>
      <c r="P63" s="0" t="s">
        <v>574</v>
      </c>
      <c r="Q63" s="0" t="n">
        <v>0.0123</v>
      </c>
      <c r="R63" s="0" t="n">
        <v>0.0069</v>
      </c>
      <c r="S63" s="0" t="n">
        <v>0.0064</v>
      </c>
      <c r="T63" s="0" t="n">
        <v>-1</v>
      </c>
      <c r="U63" s="0" t="n">
        <v>0.0107</v>
      </c>
      <c r="V63" s="0" t="s">
        <v>575</v>
      </c>
      <c r="W63" s="0" t="s">
        <v>46</v>
      </c>
      <c r="X63" s="0" t="s">
        <v>46</v>
      </c>
      <c r="Y63" s="0" t="s">
        <v>46</v>
      </c>
      <c r="Z63" s="0" t="s">
        <v>104</v>
      </c>
      <c r="AA63" s="0" t="s">
        <v>117</v>
      </c>
      <c r="AB63" s="0" t="s">
        <v>46</v>
      </c>
      <c r="AC63" s="0" t="s">
        <v>52</v>
      </c>
      <c r="AD63" s="0" t="s">
        <v>53</v>
      </c>
      <c r="AE63" s="0" t="s">
        <v>576</v>
      </c>
      <c r="AF63" s="0" t="s">
        <v>577</v>
      </c>
      <c r="AG63" s="0" t="s">
        <v>578</v>
      </c>
      <c r="AH63" s="0" t="s">
        <v>46</v>
      </c>
      <c r="AI63" s="0" t="s">
        <v>46</v>
      </c>
      <c r="AJ63" s="0" t="s">
        <v>46</v>
      </c>
      <c r="AK63" s="0" t="s">
        <v>46</v>
      </c>
      <c r="AL63" s="0" t="s">
        <v>46</v>
      </c>
    </row>
    <row r="64" customFormat="false" ht="15" hidden="false" customHeight="false" outlineLevel="0" collapsed="false">
      <c r="B64" s="0" t="str">
        <f aca="false">HYPERLINK("https://genome.ucsc.edu/cgi-bin/hgTracks?db=hg19&amp;position=chr1%3A1192565%2D1192565", "chr1:1192565")</f>
        <v>chr1:1192565</v>
      </c>
      <c r="C64" s="0" t="s">
        <v>71</v>
      </c>
      <c r="D64" s="0" t="n">
        <v>1192565</v>
      </c>
      <c r="E64" s="0" t="n">
        <v>1192565</v>
      </c>
      <c r="F64" s="0" t="s">
        <v>40</v>
      </c>
      <c r="G64" s="0" t="s">
        <v>39</v>
      </c>
      <c r="H64" s="0" t="s">
        <v>579</v>
      </c>
      <c r="I64" s="0" t="s">
        <v>580</v>
      </c>
      <c r="J64" s="0" t="s">
        <v>581</v>
      </c>
      <c r="K64" s="0" t="s">
        <v>46</v>
      </c>
      <c r="L64" s="0" t="str">
        <f aca="false">HYPERLINK("https://www.ncbi.nlm.nih.gov/snp/rs768045155", "rs768045155")</f>
        <v>rs768045155</v>
      </c>
      <c r="M64" s="0" t="str">
        <f aca="false">HYPERLINK("https://www.genecards.org/Search/Keyword?queryString=%5Baliases%5D(%20UBE2J2%20)&amp;keywords=UBE2J2", "UBE2J2")</f>
        <v>UBE2J2</v>
      </c>
      <c r="N64" s="0" t="s">
        <v>63</v>
      </c>
      <c r="O64" s="0" t="s">
        <v>46</v>
      </c>
      <c r="P64" s="0" t="s">
        <v>46</v>
      </c>
      <c r="Q64" s="0" t="n">
        <v>3.23E-005</v>
      </c>
      <c r="R64" s="0" t="n">
        <v>-1</v>
      </c>
      <c r="S64" s="0" t="n">
        <v>-1</v>
      </c>
      <c r="T64" s="0" t="n">
        <v>-1</v>
      </c>
      <c r="U64" s="0" t="n">
        <v>-1</v>
      </c>
      <c r="V64" s="0" t="s">
        <v>46</v>
      </c>
      <c r="W64" s="0" t="s">
        <v>46</v>
      </c>
      <c r="X64" s="0" t="s">
        <v>385</v>
      </c>
      <c r="Y64" s="0" t="s">
        <v>64</v>
      </c>
      <c r="Z64" s="0" t="s">
        <v>46</v>
      </c>
      <c r="AA64" s="0" t="s">
        <v>46</v>
      </c>
      <c r="AB64" s="0" t="s">
        <v>46</v>
      </c>
      <c r="AC64" s="0" t="s">
        <v>52</v>
      </c>
      <c r="AD64" s="0" t="s">
        <v>53</v>
      </c>
      <c r="AE64" s="0" t="s">
        <v>582</v>
      </c>
      <c r="AF64" s="0" t="s">
        <v>583</v>
      </c>
      <c r="AG64" s="0" t="s">
        <v>584</v>
      </c>
      <c r="AH64" s="0" t="s">
        <v>46</v>
      </c>
      <c r="AI64" s="0" t="s">
        <v>46</v>
      </c>
      <c r="AJ64" s="0" t="s">
        <v>46</v>
      </c>
      <c r="AK64" s="0" t="s">
        <v>46</v>
      </c>
      <c r="AL64" s="0" t="s">
        <v>46</v>
      </c>
    </row>
    <row r="65" customFormat="false" ht="15" hidden="false" customHeight="false" outlineLevel="0" collapsed="false">
      <c r="B65" s="0" t="str">
        <f aca="false">HYPERLINK("https://genome.ucsc.edu/cgi-bin/hgTracks?db=hg19&amp;position=chr1%3A6523252%2D6523252", "chr1:6523252")</f>
        <v>chr1:6523252</v>
      </c>
      <c r="C65" s="0" t="s">
        <v>71</v>
      </c>
      <c r="D65" s="0" t="n">
        <v>6523252</v>
      </c>
      <c r="E65" s="0" t="n">
        <v>6523252</v>
      </c>
      <c r="F65" s="0" t="s">
        <v>58</v>
      </c>
      <c r="G65" s="0" t="s">
        <v>39</v>
      </c>
      <c r="H65" s="0" t="s">
        <v>585</v>
      </c>
      <c r="I65" s="0" t="s">
        <v>586</v>
      </c>
      <c r="J65" s="0" t="s">
        <v>587</v>
      </c>
      <c r="K65" s="0" t="s">
        <v>46</v>
      </c>
      <c r="L65" s="0" t="str">
        <f aca="false">HYPERLINK("https://www.ncbi.nlm.nih.gov/snp/rs375552210", "rs375552210")</f>
        <v>rs375552210</v>
      </c>
      <c r="M65" s="0" t="str">
        <f aca="false">HYPERLINK("https://www.genecards.org/Search/Keyword?queryString=%5Baliases%5D(%20TNFRSF25%20)&amp;keywords=TNFRSF25", "TNFRSF25")</f>
        <v>TNFRSF25</v>
      </c>
      <c r="N65" s="0" t="s">
        <v>588</v>
      </c>
      <c r="O65" s="0" t="s">
        <v>46</v>
      </c>
      <c r="P65" s="0" t="s">
        <v>589</v>
      </c>
      <c r="Q65" s="0" t="n">
        <v>0.0066</v>
      </c>
      <c r="R65" s="0" t="n">
        <v>0.0086</v>
      </c>
      <c r="S65" s="0" t="n">
        <v>0.0065</v>
      </c>
      <c r="T65" s="0" t="n">
        <v>-1</v>
      </c>
      <c r="U65" s="0" t="n">
        <v>0.0135</v>
      </c>
      <c r="V65" s="0" t="s">
        <v>46</v>
      </c>
      <c r="W65" s="0" t="s">
        <v>46</v>
      </c>
      <c r="X65" s="0" t="s">
        <v>385</v>
      </c>
      <c r="Y65" s="0" t="s">
        <v>64</v>
      </c>
      <c r="Z65" s="0" t="s">
        <v>46</v>
      </c>
      <c r="AA65" s="0" t="s">
        <v>46</v>
      </c>
      <c r="AB65" s="0" t="s">
        <v>46</v>
      </c>
      <c r="AC65" s="0" t="s">
        <v>52</v>
      </c>
      <c r="AD65" s="0" t="s">
        <v>53</v>
      </c>
      <c r="AE65" s="0" t="s">
        <v>590</v>
      </c>
      <c r="AF65" s="0" t="s">
        <v>591</v>
      </c>
      <c r="AG65" s="0" t="s">
        <v>592</v>
      </c>
      <c r="AH65" s="0" t="s">
        <v>46</v>
      </c>
      <c r="AI65" s="0" t="s">
        <v>46</v>
      </c>
      <c r="AJ65" s="0" t="s">
        <v>46</v>
      </c>
      <c r="AK65" s="0" t="s">
        <v>46</v>
      </c>
      <c r="AL65" s="0" t="s">
        <v>46</v>
      </c>
    </row>
    <row r="66" customFormat="false" ht="15" hidden="false" customHeight="false" outlineLevel="0" collapsed="false">
      <c r="B66" s="0" t="str">
        <f aca="false">HYPERLINK("https://genome.ucsc.edu/cgi-bin/hgTracks?db=hg19&amp;position=chr1%3A19407791%2D19407791", "chr1:19407791")</f>
        <v>chr1:19407791</v>
      </c>
      <c r="C66" s="0" t="s">
        <v>71</v>
      </c>
      <c r="D66" s="0" t="n">
        <v>19407791</v>
      </c>
      <c r="E66" s="0" t="n">
        <v>19407791</v>
      </c>
      <c r="F66" s="0" t="s">
        <v>72</v>
      </c>
      <c r="G66" s="0" t="s">
        <v>40</v>
      </c>
      <c r="H66" s="0" t="s">
        <v>593</v>
      </c>
      <c r="I66" s="0" t="s">
        <v>594</v>
      </c>
      <c r="J66" s="0" t="s">
        <v>595</v>
      </c>
      <c r="K66" s="0" t="s">
        <v>46</v>
      </c>
      <c r="L66" s="0" t="str">
        <f aca="false">HYPERLINK("https://www.ncbi.nlm.nih.gov/snp/rs149728154", "rs149728154")</f>
        <v>rs149728154</v>
      </c>
      <c r="M66" s="0" t="str">
        <f aca="false">HYPERLINK("https://www.genecards.org/Search/Keyword?queryString=%5Baliases%5D(%20UBR4%20)&amp;keywords=UBR4", "UBR4")</f>
        <v>UBR4</v>
      </c>
      <c r="N66" s="0" t="s">
        <v>63</v>
      </c>
      <c r="O66" s="0" t="s">
        <v>46</v>
      </c>
      <c r="P66" s="0" t="s">
        <v>46</v>
      </c>
      <c r="Q66" s="0" t="n">
        <v>0.0041</v>
      </c>
      <c r="R66" s="0" t="n">
        <v>0.0048</v>
      </c>
      <c r="S66" s="0" t="n">
        <v>0.004</v>
      </c>
      <c r="T66" s="0" t="n">
        <v>-1</v>
      </c>
      <c r="U66" s="0" t="n">
        <v>0.0072</v>
      </c>
      <c r="V66" s="0" t="s">
        <v>46</v>
      </c>
      <c r="W66" s="0" t="s">
        <v>46</v>
      </c>
      <c r="X66" s="0" t="s">
        <v>385</v>
      </c>
      <c r="Y66" s="0" t="s">
        <v>64</v>
      </c>
      <c r="Z66" s="0" t="s">
        <v>46</v>
      </c>
      <c r="AA66" s="0" t="s">
        <v>46</v>
      </c>
      <c r="AB66" s="0" t="s">
        <v>46</v>
      </c>
      <c r="AC66" s="0" t="s">
        <v>52</v>
      </c>
      <c r="AD66" s="0" t="s">
        <v>53</v>
      </c>
      <c r="AE66" s="0" t="s">
        <v>53</v>
      </c>
      <c r="AF66" s="0" t="s">
        <v>596</v>
      </c>
      <c r="AG66" s="0" t="s">
        <v>597</v>
      </c>
      <c r="AH66" s="0" t="s">
        <v>46</v>
      </c>
      <c r="AI66" s="0" t="s">
        <v>46</v>
      </c>
      <c r="AJ66" s="0" t="s">
        <v>46</v>
      </c>
      <c r="AK66" s="0" t="s">
        <v>46</v>
      </c>
      <c r="AL66" s="0" t="s">
        <v>46</v>
      </c>
    </row>
    <row r="67" customFormat="false" ht="15" hidden="false" customHeight="false" outlineLevel="0" collapsed="false">
      <c r="B67" s="0" t="str">
        <f aca="false">HYPERLINK("https://genome.ucsc.edu/cgi-bin/hgTracks?db=hg19&amp;position=chr1%3A22013660%2D22013660", "chr1:22013660")</f>
        <v>chr1:22013660</v>
      </c>
      <c r="C67" s="0" t="s">
        <v>71</v>
      </c>
      <c r="D67" s="0" t="n">
        <v>22013660</v>
      </c>
      <c r="E67" s="0" t="n">
        <v>22013660</v>
      </c>
      <c r="F67" s="0" t="s">
        <v>39</v>
      </c>
      <c r="G67" s="0" t="s">
        <v>40</v>
      </c>
      <c r="H67" s="0" t="s">
        <v>598</v>
      </c>
      <c r="I67" s="0" t="s">
        <v>599</v>
      </c>
      <c r="J67" s="0" t="s">
        <v>600</v>
      </c>
      <c r="K67" s="0" t="s">
        <v>46</v>
      </c>
      <c r="L67" s="0" t="str">
        <f aca="false">HYPERLINK("https://www.ncbi.nlm.nih.gov/snp/rs72877909", "rs72877909")</f>
        <v>rs72877909</v>
      </c>
      <c r="M67" s="0" t="str">
        <f aca="false">HYPERLINK("https://www.genecards.org/Search/Keyword?queryString=%5Baliases%5D(%20USP48%20)&amp;keywords=USP48", "USP48")</f>
        <v>USP48</v>
      </c>
      <c r="N67" s="0" t="s">
        <v>601</v>
      </c>
      <c r="O67" s="0" t="s">
        <v>78</v>
      </c>
      <c r="P67" s="0" t="s">
        <v>602</v>
      </c>
      <c r="Q67" s="0" t="n">
        <v>0.0203</v>
      </c>
      <c r="R67" s="0" t="n">
        <v>0.0201</v>
      </c>
      <c r="S67" s="0" t="n">
        <v>0.0201</v>
      </c>
      <c r="T67" s="0" t="n">
        <v>-1</v>
      </c>
      <c r="U67" s="0" t="n">
        <v>0.0198</v>
      </c>
      <c r="V67" s="0" t="s">
        <v>46</v>
      </c>
      <c r="W67" s="0" t="s">
        <v>46</v>
      </c>
      <c r="X67" s="0" t="s">
        <v>385</v>
      </c>
      <c r="Y67" s="0" t="s">
        <v>64</v>
      </c>
      <c r="Z67" s="0" t="s">
        <v>46</v>
      </c>
      <c r="AA67" s="0" t="s">
        <v>46</v>
      </c>
      <c r="AB67" s="0" t="s">
        <v>46</v>
      </c>
      <c r="AC67" s="0" t="s">
        <v>52</v>
      </c>
      <c r="AD67" s="0" t="s">
        <v>53</v>
      </c>
      <c r="AE67" s="0" t="s">
        <v>603</v>
      </c>
      <c r="AF67" s="0" t="s">
        <v>604</v>
      </c>
      <c r="AG67" s="0" t="s">
        <v>605</v>
      </c>
      <c r="AH67" s="0" t="s">
        <v>46</v>
      </c>
      <c r="AI67" s="0" t="s">
        <v>46</v>
      </c>
      <c r="AJ67" s="0" t="s">
        <v>46</v>
      </c>
      <c r="AK67" s="0" t="s">
        <v>46</v>
      </c>
      <c r="AL67" s="0" t="s">
        <v>46</v>
      </c>
    </row>
    <row r="68" customFormat="false" ht="15" hidden="false" customHeight="false" outlineLevel="0" collapsed="false">
      <c r="B68" s="0" t="str">
        <f aca="false">HYPERLINK("https://genome.ucsc.edu/cgi-bin/hgTracks?db=hg19&amp;position=chr1%3A44316219%2D44316219", "chr1:44316219")</f>
        <v>chr1:44316219</v>
      </c>
      <c r="C68" s="0" t="s">
        <v>71</v>
      </c>
      <c r="D68" s="0" t="n">
        <v>44316219</v>
      </c>
      <c r="E68" s="0" t="n">
        <v>44316219</v>
      </c>
      <c r="F68" s="0" t="s">
        <v>39</v>
      </c>
      <c r="G68" s="0" t="s">
        <v>58</v>
      </c>
      <c r="H68" s="0" t="s">
        <v>606</v>
      </c>
      <c r="I68" s="0" t="s">
        <v>607</v>
      </c>
      <c r="J68" s="0" t="s">
        <v>608</v>
      </c>
      <c r="K68" s="0" t="s">
        <v>46</v>
      </c>
      <c r="L68" s="0" t="s">
        <v>46</v>
      </c>
      <c r="M68" s="0" t="str">
        <f aca="false">HYPERLINK("https://www.genecards.org/Search/Keyword?queryString=%5Baliases%5D(%20ST3GAL3%20)&amp;keywords=ST3GAL3", "ST3GAL3")</f>
        <v>ST3GAL3</v>
      </c>
      <c r="N68" s="0" t="s">
        <v>609</v>
      </c>
      <c r="O68" s="0" t="s">
        <v>46</v>
      </c>
      <c r="P68" s="0" t="s">
        <v>46</v>
      </c>
      <c r="Q68" s="0" t="n">
        <v>-1</v>
      </c>
      <c r="R68" s="0" t="n">
        <v>-1</v>
      </c>
      <c r="S68" s="0" t="n">
        <v>-1</v>
      </c>
      <c r="T68" s="0" t="n">
        <v>-1</v>
      </c>
      <c r="U68" s="0" t="n">
        <v>-1</v>
      </c>
      <c r="V68" s="0" t="s">
        <v>46</v>
      </c>
      <c r="W68" s="0" t="s">
        <v>46</v>
      </c>
      <c r="X68" s="0" t="s">
        <v>46</v>
      </c>
      <c r="Y68" s="0" t="s">
        <v>46</v>
      </c>
      <c r="Z68" s="0" t="s">
        <v>46</v>
      </c>
      <c r="AA68" s="0" t="s">
        <v>46</v>
      </c>
      <c r="AB68" s="0" t="s">
        <v>46</v>
      </c>
      <c r="AC68" s="0" t="s">
        <v>52</v>
      </c>
      <c r="AD68" s="0" t="s">
        <v>53</v>
      </c>
      <c r="AE68" s="0" t="s">
        <v>610</v>
      </c>
      <c r="AF68" s="0" t="s">
        <v>611</v>
      </c>
      <c r="AG68" s="0" t="s">
        <v>612</v>
      </c>
      <c r="AH68" s="0" t="s">
        <v>613</v>
      </c>
      <c r="AI68" s="0" t="s">
        <v>46</v>
      </c>
      <c r="AJ68" s="0" t="s">
        <v>46</v>
      </c>
      <c r="AK68" s="0" t="s">
        <v>46</v>
      </c>
      <c r="AL68" s="0" t="s">
        <v>46</v>
      </c>
    </row>
    <row r="69" customFormat="false" ht="15" hidden="false" customHeight="false" outlineLevel="0" collapsed="false">
      <c r="B69" s="0" t="str">
        <f aca="false">HYPERLINK("https://genome.ucsc.edu/cgi-bin/hgTracks?db=hg19&amp;position=chr1%3A46070570%2D46070570", "chr1:46070570")</f>
        <v>chr1:46070570</v>
      </c>
      <c r="C69" s="0" t="s">
        <v>71</v>
      </c>
      <c r="D69" s="0" t="n">
        <v>46070570</v>
      </c>
      <c r="E69" s="0" t="n">
        <v>46070570</v>
      </c>
      <c r="F69" s="0" t="s">
        <v>72</v>
      </c>
      <c r="G69" s="0" t="s">
        <v>58</v>
      </c>
      <c r="H69" s="0" t="s">
        <v>614</v>
      </c>
      <c r="I69" s="0" t="s">
        <v>615</v>
      </c>
      <c r="J69" s="0" t="s">
        <v>616</v>
      </c>
      <c r="K69" s="0" t="s">
        <v>46</v>
      </c>
      <c r="L69" s="0" t="str">
        <f aca="false">HYPERLINK("https://www.ncbi.nlm.nih.gov/snp/rs139308554", "rs139308554")</f>
        <v>rs139308554</v>
      </c>
      <c r="M69" s="0" t="str">
        <f aca="false">HYPERLINK("https://www.genecards.org/Search/Keyword?queryString=%5Baliases%5D(%20NASP%20)&amp;keywords=NASP", "NASP")</f>
        <v>NASP</v>
      </c>
      <c r="N69" s="0" t="s">
        <v>63</v>
      </c>
      <c r="O69" s="0" t="s">
        <v>46</v>
      </c>
      <c r="P69" s="0" t="s">
        <v>46</v>
      </c>
      <c r="Q69" s="0" t="n">
        <v>0.0249</v>
      </c>
      <c r="R69" s="0" t="n">
        <v>0.0159</v>
      </c>
      <c r="S69" s="0" t="n">
        <v>0.0167</v>
      </c>
      <c r="T69" s="0" t="n">
        <v>-1</v>
      </c>
      <c r="U69" s="0" t="n">
        <v>0.0112</v>
      </c>
      <c r="V69" s="0" t="s">
        <v>46</v>
      </c>
      <c r="W69" s="0" t="s">
        <v>46</v>
      </c>
      <c r="X69" s="0" t="s">
        <v>49</v>
      </c>
      <c r="Y69" s="0" t="s">
        <v>64</v>
      </c>
      <c r="Z69" s="0" t="s">
        <v>46</v>
      </c>
      <c r="AA69" s="0" t="s">
        <v>46</v>
      </c>
      <c r="AB69" s="0" t="s">
        <v>46</v>
      </c>
      <c r="AC69" s="0" t="s">
        <v>52</v>
      </c>
      <c r="AD69" s="0" t="s">
        <v>53</v>
      </c>
      <c r="AE69" s="0" t="s">
        <v>617</v>
      </c>
      <c r="AF69" s="0" t="s">
        <v>618</v>
      </c>
      <c r="AG69" s="0" t="s">
        <v>619</v>
      </c>
      <c r="AH69" s="0" t="s">
        <v>46</v>
      </c>
      <c r="AI69" s="0" t="s">
        <v>46</v>
      </c>
      <c r="AJ69" s="0" t="s">
        <v>46</v>
      </c>
      <c r="AK69" s="0" t="s">
        <v>46</v>
      </c>
      <c r="AL69" s="0" t="s">
        <v>46</v>
      </c>
    </row>
    <row r="70" customFormat="false" ht="15" hidden="false" customHeight="false" outlineLevel="0" collapsed="false">
      <c r="B70" s="0" t="str">
        <f aca="false">HYPERLINK("https://genome.ucsc.edu/cgi-bin/hgTracks?db=hg19&amp;position=chr1%3A53793514%2D53793514", "chr1:53793514")</f>
        <v>chr1:53793514</v>
      </c>
      <c r="C70" s="0" t="s">
        <v>71</v>
      </c>
      <c r="D70" s="0" t="n">
        <v>53793514</v>
      </c>
      <c r="E70" s="0" t="n">
        <v>53793514</v>
      </c>
      <c r="F70" s="0" t="s">
        <v>72</v>
      </c>
      <c r="G70" s="0" t="s">
        <v>312</v>
      </c>
      <c r="H70" s="0" t="s">
        <v>620</v>
      </c>
      <c r="I70" s="0" t="s">
        <v>621</v>
      </c>
      <c r="J70" s="0" t="s">
        <v>622</v>
      </c>
      <c r="K70" s="0" t="s">
        <v>46</v>
      </c>
      <c r="L70" s="0" t="str">
        <f aca="false">HYPERLINK("https://www.ncbi.nlm.nih.gov/snp/rs761955852", "rs761955852")</f>
        <v>rs761955852</v>
      </c>
      <c r="M70" s="0" t="str">
        <f aca="false">HYPERLINK("https://www.genecards.org/Search/Keyword?queryString=%5Baliases%5D(%20LRP8%20)&amp;keywords=LRP8", "LRP8")</f>
        <v>LRP8</v>
      </c>
      <c r="N70" s="0" t="s">
        <v>77</v>
      </c>
      <c r="O70" s="0" t="s">
        <v>623</v>
      </c>
      <c r="P70" s="0" t="s">
        <v>624</v>
      </c>
      <c r="Q70" s="0" t="n">
        <v>0.0148</v>
      </c>
      <c r="R70" s="0" t="n">
        <v>0.0053</v>
      </c>
      <c r="S70" s="0" t="n">
        <v>0.0058</v>
      </c>
      <c r="T70" s="0" t="n">
        <v>-1</v>
      </c>
      <c r="U70" s="0" t="n">
        <v>0.0055</v>
      </c>
      <c r="V70" s="0" t="s">
        <v>46</v>
      </c>
      <c r="W70" s="0" t="s">
        <v>46</v>
      </c>
      <c r="X70" s="0" t="s">
        <v>46</v>
      </c>
      <c r="Y70" s="0" t="s">
        <v>46</v>
      </c>
      <c r="Z70" s="0" t="s">
        <v>46</v>
      </c>
      <c r="AA70" s="0" t="s">
        <v>46</v>
      </c>
      <c r="AB70" s="0" t="s">
        <v>46</v>
      </c>
      <c r="AC70" s="0" t="s">
        <v>52</v>
      </c>
      <c r="AD70" s="0" t="s">
        <v>53</v>
      </c>
      <c r="AE70" s="0" t="s">
        <v>625</v>
      </c>
      <c r="AF70" s="0" t="s">
        <v>626</v>
      </c>
      <c r="AG70" s="0" t="s">
        <v>627</v>
      </c>
      <c r="AH70" s="0" t="s">
        <v>628</v>
      </c>
      <c r="AI70" s="0" t="s">
        <v>46</v>
      </c>
      <c r="AJ70" s="0" t="s">
        <v>46</v>
      </c>
      <c r="AK70" s="0" t="s">
        <v>46</v>
      </c>
      <c r="AL70" s="0" t="s">
        <v>46</v>
      </c>
    </row>
    <row r="71" customFormat="false" ht="15" hidden="false" customHeight="false" outlineLevel="0" collapsed="false">
      <c r="B71" s="0" t="str">
        <f aca="false">HYPERLINK("https://genome.ucsc.edu/cgi-bin/hgTracks?db=hg19&amp;position=chr1%3A82436294%2D82436294", "chr1:82436294")</f>
        <v>chr1:82436294</v>
      </c>
      <c r="C71" s="0" t="s">
        <v>71</v>
      </c>
      <c r="D71" s="0" t="n">
        <v>82436294</v>
      </c>
      <c r="E71" s="0" t="n">
        <v>82436294</v>
      </c>
      <c r="F71" s="0" t="s">
        <v>40</v>
      </c>
      <c r="G71" s="0" t="s">
        <v>58</v>
      </c>
      <c r="H71" s="0" t="s">
        <v>629</v>
      </c>
      <c r="I71" s="0" t="s">
        <v>383</v>
      </c>
      <c r="J71" s="0" t="s">
        <v>630</v>
      </c>
      <c r="K71" s="0" t="s">
        <v>46</v>
      </c>
      <c r="L71" s="0" t="str">
        <f aca="false">HYPERLINK("https://www.ncbi.nlm.nih.gov/snp/rs6690427", "rs6690427")</f>
        <v>rs6690427</v>
      </c>
      <c r="M71" s="0" t="str">
        <f aca="false">HYPERLINK("https://www.genecards.org/Search/Keyword?queryString=%5Baliases%5D(%20ADGRL2%20)%20OR%20%5Baliases%5D(%20LPHN2%20)&amp;keywords=ADGRL2,LPHN2", "ADGRL2;LPHN2")</f>
        <v>ADGRL2;LPHN2</v>
      </c>
      <c r="N71" s="0" t="s">
        <v>63</v>
      </c>
      <c r="O71" s="0" t="s">
        <v>46</v>
      </c>
      <c r="P71" s="0" t="s">
        <v>46</v>
      </c>
      <c r="Q71" s="0" t="n">
        <v>0.0292</v>
      </c>
      <c r="R71" s="0" t="n">
        <v>0.0294</v>
      </c>
      <c r="S71" s="0" t="n">
        <v>0.0289</v>
      </c>
      <c r="T71" s="0" t="n">
        <v>-1</v>
      </c>
      <c r="U71" s="0" t="n">
        <v>0.028</v>
      </c>
      <c r="V71" s="0" t="s">
        <v>46</v>
      </c>
      <c r="W71" s="0" t="s">
        <v>46</v>
      </c>
      <c r="X71" s="0" t="s">
        <v>385</v>
      </c>
      <c r="Y71" s="0" t="s">
        <v>64</v>
      </c>
      <c r="Z71" s="0" t="s">
        <v>46</v>
      </c>
      <c r="AA71" s="0" t="s">
        <v>46</v>
      </c>
      <c r="AB71" s="0" t="s">
        <v>46</v>
      </c>
      <c r="AC71" s="0" t="s">
        <v>52</v>
      </c>
      <c r="AD71" s="0" t="s">
        <v>631</v>
      </c>
      <c r="AE71" s="0" t="s">
        <v>46</v>
      </c>
      <c r="AF71" s="0" t="s">
        <v>632</v>
      </c>
      <c r="AG71" s="0" t="s">
        <v>633</v>
      </c>
      <c r="AH71" s="0" t="s">
        <v>46</v>
      </c>
      <c r="AI71" s="0" t="s">
        <v>46</v>
      </c>
      <c r="AJ71" s="0" t="s">
        <v>46</v>
      </c>
      <c r="AK71" s="0" t="s">
        <v>46</v>
      </c>
      <c r="AL71" s="0" t="s">
        <v>46</v>
      </c>
    </row>
    <row r="72" customFormat="false" ht="15" hidden="false" customHeight="false" outlineLevel="0" collapsed="false">
      <c r="B72" s="0" t="str">
        <f aca="false">HYPERLINK("https://genome.ucsc.edu/cgi-bin/hgTracks?db=hg19&amp;position=chr1%3A82446930%2D82446930", "chr1:82446930")</f>
        <v>chr1:82446930</v>
      </c>
      <c r="C72" s="0" t="s">
        <v>71</v>
      </c>
      <c r="D72" s="0" t="n">
        <v>82446930</v>
      </c>
      <c r="E72" s="0" t="n">
        <v>82446930</v>
      </c>
      <c r="F72" s="0" t="s">
        <v>40</v>
      </c>
      <c r="G72" s="0" t="s">
        <v>58</v>
      </c>
      <c r="H72" s="0" t="s">
        <v>634</v>
      </c>
      <c r="I72" s="0" t="s">
        <v>493</v>
      </c>
      <c r="J72" s="0" t="s">
        <v>635</v>
      </c>
      <c r="K72" s="0" t="s">
        <v>46</v>
      </c>
      <c r="L72" s="0" t="str">
        <f aca="false">HYPERLINK("https://www.ncbi.nlm.nih.gov/snp/rs756404948", "rs756404948")</f>
        <v>rs756404948</v>
      </c>
      <c r="M72" s="0" t="str">
        <f aca="false">HYPERLINK("https://www.genecards.org/Search/Keyword?queryString=%5Baliases%5D(%20ADGRL2%20)%20OR%20%5Baliases%5D(%20LPHN2%20)&amp;keywords=ADGRL2,LPHN2", "ADGRL2;LPHN2")</f>
        <v>ADGRL2;LPHN2</v>
      </c>
      <c r="N72" s="0" t="s">
        <v>63</v>
      </c>
      <c r="O72" s="0" t="s">
        <v>46</v>
      </c>
      <c r="P72" s="0" t="s">
        <v>46</v>
      </c>
      <c r="Q72" s="0" t="n">
        <v>0.0017</v>
      </c>
      <c r="R72" s="0" t="n">
        <v>0.0021</v>
      </c>
      <c r="S72" s="0" t="n">
        <v>0.0018</v>
      </c>
      <c r="T72" s="0" t="n">
        <v>-1</v>
      </c>
      <c r="U72" s="0" t="n">
        <v>0.0041</v>
      </c>
      <c r="V72" s="0" t="s">
        <v>46</v>
      </c>
      <c r="W72" s="0" t="s">
        <v>46</v>
      </c>
      <c r="X72" s="0" t="s">
        <v>49</v>
      </c>
      <c r="Y72" s="0" t="s">
        <v>64</v>
      </c>
      <c r="Z72" s="0" t="s">
        <v>46</v>
      </c>
      <c r="AA72" s="0" t="s">
        <v>46</v>
      </c>
      <c r="AB72" s="0" t="s">
        <v>46</v>
      </c>
      <c r="AC72" s="0" t="s">
        <v>52</v>
      </c>
      <c r="AD72" s="0" t="s">
        <v>631</v>
      </c>
      <c r="AE72" s="0" t="s">
        <v>46</v>
      </c>
      <c r="AF72" s="0" t="s">
        <v>632</v>
      </c>
      <c r="AG72" s="0" t="s">
        <v>633</v>
      </c>
      <c r="AH72" s="0" t="s">
        <v>46</v>
      </c>
      <c r="AI72" s="0" t="s">
        <v>46</v>
      </c>
      <c r="AJ72" s="0" t="s">
        <v>46</v>
      </c>
      <c r="AK72" s="0" t="s">
        <v>46</v>
      </c>
      <c r="AL72" s="0" t="s">
        <v>46</v>
      </c>
    </row>
    <row r="73" customFormat="false" ht="15" hidden="false" customHeight="false" outlineLevel="0" collapsed="false">
      <c r="B73" s="0" t="str">
        <f aca="false">HYPERLINK("https://genome.ucsc.edu/cgi-bin/hgTracks?db=hg19&amp;position=chr1%3A94487620%2D94487620", "chr1:94487620")</f>
        <v>chr1:94487620</v>
      </c>
      <c r="C73" s="0" t="s">
        <v>71</v>
      </c>
      <c r="D73" s="0" t="n">
        <v>94487620</v>
      </c>
      <c r="E73" s="0" t="n">
        <v>94487620</v>
      </c>
      <c r="F73" s="0" t="s">
        <v>40</v>
      </c>
      <c r="G73" s="0" t="s">
        <v>39</v>
      </c>
      <c r="H73" s="0" t="s">
        <v>636</v>
      </c>
      <c r="I73" s="0" t="s">
        <v>637</v>
      </c>
      <c r="J73" s="0" t="s">
        <v>638</v>
      </c>
      <c r="K73" s="0" t="s">
        <v>46</v>
      </c>
      <c r="L73" s="0" t="str">
        <f aca="false">HYPERLINK("https://www.ncbi.nlm.nih.gov/snp/rs115406048", "rs115406048")</f>
        <v>rs115406048</v>
      </c>
      <c r="M73" s="0" t="str">
        <f aca="false">HYPERLINK("https://www.genecards.org/Search/Keyword?queryString=%5Baliases%5D(%20ABCA4%20)&amp;keywords=ABCA4", "ABCA4")</f>
        <v>ABCA4</v>
      </c>
      <c r="N73" s="0" t="s">
        <v>63</v>
      </c>
      <c r="O73" s="0" t="s">
        <v>46</v>
      </c>
      <c r="P73" s="0" t="s">
        <v>46</v>
      </c>
      <c r="Q73" s="0" t="n">
        <v>0.0185</v>
      </c>
      <c r="R73" s="0" t="n">
        <v>0.0174</v>
      </c>
      <c r="S73" s="0" t="n">
        <v>0.0181</v>
      </c>
      <c r="T73" s="0" t="n">
        <v>-1</v>
      </c>
      <c r="U73" s="0" t="n">
        <v>0.0145</v>
      </c>
      <c r="V73" s="0" t="s">
        <v>46</v>
      </c>
      <c r="W73" s="0" t="s">
        <v>46</v>
      </c>
      <c r="X73" s="0" t="s">
        <v>385</v>
      </c>
      <c r="Y73" s="0" t="s">
        <v>64</v>
      </c>
      <c r="Z73" s="0" t="s">
        <v>46</v>
      </c>
      <c r="AA73" s="0" t="s">
        <v>46</v>
      </c>
      <c r="AB73" s="0" t="s">
        <v>46</v>
      </c>
      <c r="AC73" s="0" t="s">
        <v>52</v>
      </c>
      <c r="AD73" s="0" t="s">
        <v>94</v>
      </c>
      <c r="AE73" s="0" t="s">
        <v>95</v>
      </c>
      <c r="AF73" s="0" t="s">
        <v>96</v>
      </c>
      <c r="AG73" s="0" t="s">
        <v>97</v>
      </c>
      <c r="AH73" s="0" t="s">
        <v>98</v>
      </c>
      <c r="AI73" s="0" t="s">
        <v>46</v>
      </c>
      <c r="AJ73" s="0" t="s">
        <v>46</v>
      </c>
      <c r="AK73" s="0" t="s">
        <v>46</v>
      </c>
      <c r="AL73" s="0" t="s">
        <v>46</v>
      </c>
    </row>
    <row r="74" customFormat="false" ht="15" hidden="false" customHeight="false" outlineLevel="0" collapsed="false">
      <c r="B74" s="0" t="str">
        <f aca="false">HYPERLINK("https://genome.ucsc.edu/cgi-bin/hgTracks?db=hg19&amp;position=chr1%3A95530262%2D95530262", "chr1:95530262")</f>
        <v>chr1:95530262</v>
      </c>
      <c r="C74" s="0" t="s">
        <v>71</v>
      </c>
      <c r="D74" s="0" t="n">
        <v>95530262</v>
      </c>
      <c r="E74" s="0" t="n">
        <v>95530262</v>
      </c>
      <c r="F74" s="0" t="s">
        <v>72</v>
      </c>
      <c r="G74" s="0" t="s">
        <v>58</v>
      </c>
      <c r="H74" s="0" t="s">
        <v>639</v>
      </c>
      <c r="I74" s="0" t="s">
        <v>640</v>
      </c>
      <c r="J74" s="0" t="s">
        <v>641</v>
      </c>
      <c r="K74" s="0" t="s">
        <v>46</v>
      </c>
      <c r="L74" s="0" t="str">
        <f aca="false">HYPERLINK("https://www.ncbi.nlm.nih.gov/snp/rs147114600", "rs147114600")</f>
        <v>rs147114600</v>
      </c>
      <c r="M74" s="0" t="str">
        <f aca="false">HYPERLINK("https://www.genecards.org/Search/Keyword?queryString=%5Baliases%5D(%20ALG14%20)%20OR%20%5Baliases%5D(%20LOC101928098%20)&amp;keywords=ALG14,LOC101928098", "ALG14;LOC101928098")</f>
        <v>ALG14;LOC101928098</v>
      </c>
      <c r="N74" s="0" t="s">
        <v>366</v>
      </c>
      <c r="O74" s="0" t="s">
        <v>46</v>
      </c>
      <c r="P74" s="0" t="s">
        <v>46</v>
      </c>
      <c r="Q74" s="0" t="n">
        <v>0.0224552</v>
      </c>
      <c r="R74" s="0" t="n">
        <v>0.0117</v>
      </c>
      <c r="S74" s="0" t="n">
        <v>0.0129</v>
      </c>
      <c r="T74" s="0" t="n">
        <v>-1</v>
      </c>
      <c r="U74" s="0" t="n">
        <v>0.0089</v>
      </c>
      <c r="V74" s="0" t="s">
        <v>46</v>
      </c>
      <c r="W74" s="0" t="s">
        <v>46</v>
      </c>
      <c r="X74" s="0" t="s">
        <v>340</v>
      </c>
      <c r="Y74" s="0" t="s">
        <v>64</v>
      </c>
      <c r="Z74" s="0" t="s">
        <v>46</v>
      </c>
      <c r="AA74" s="0" t="s">
        <v>46</v>
      </c>
      <c r="AB74" s="0" t="s">
        <v>46</v>
      </c>
      <c r="AC74" s="0" t="s">
        <v>642</v>
      </c>
      <c r="AD74" s="0" t="s">
        <v>182</v>
      </c>
      <c r="AE74" s="0" t="s">
        <v>643</v>
      </c>
      <c r="AF74" s="0" t="s">
        <v>644</v>
      </c>
      <c r="AG74" s="0" t="s">
        <v>645</v>
      </c>
      <c r="AH74" s="0" t="s">
        <v>646</v>
      </c>
      <c r="AI74" s="0" t="s">
        <v>46</v>
      </c>
      <c r="AJ74" s="0" t="s">
        <v>46</v>
      </c>
      <c r="AK74" s="0" t="s">
        <v>46</v>
      </c>
      <c r="AL74" s="0" t="s">
        <v>46</v>
      </c>
    </row>
    <row r="75" customFormat="false" ht="15" hidden="false" customHeight="false" outlineLevel="0" collapsed="false">
      <c r="B75" s="0" t="str">
        <f aca="false">HYPERLINK("https://genome.ucsc.edu/cgi-bin/hgTracks?db=hg19&amp;position=chr1%3A100591669%2D100591669", "chr1:100591669")</f>
        <v>chr1:100591669</v>
      </c>
      <c r="C75" s="0" t="s">
        <v>71</v>
      </c>
      <c r="D75" s="0" t="n">
        <v>100591669</v>
      </c>
      <c r="E75" s="0" t="n">
        <v>100591669</v>
      </c>
      <c r="F75" s="0" t="s">
        <v>39</v>
      </c>
      <c r="G75" s="0" t="s">
        <v>40</v>
      </c>
      <c r="H75" s="0" t="s">
        <v>647</v>
      </c>
      <c r="I75" s="0" t="s">
        <v>648</v>
      </c>
      <c r="J75" s="0" t="s">
        <v>649</v>
      </c>
      <c r="K75" s="0" t="s">
        <v>46</v>
      </c>
      <c r="L75" s="0" t="str">
        <f aca="false">HYPERLINK("https://www.ncbi.nlm.nih.gov/snp/rs114057168", "rs114057168")</f>
        <v>rs114057168</v>
      </c>
      <c r="M75" s="0" t="str">
        <f aca="false">HYPERLINK("https://www.genecards.org/Search/Keyword?queryString=%5Baliases%5D(%20SASS6%20)&amp;keywords=SASS6", "SASS6")</f>
        <v>SASS6</v>
      </c>
      <c r="N75" s="0" t="s">
        <v>63</v>
      </c>
      <c r="O75" s="0" t="s">
        <v>46</v>
      </c>
      <c r="P75" s="0" t="s">
        <v>46</v>
      </c>
      <c r="Q75" s="0" t="n">
        <v>0.0207</v>
      </c>
      <c r="R75" s="0" t="n">
        <v>0.0235</v>
      </c>
      <c r="S75" s="0" t="n">
        <v>0.0206</v>
      </c>
      <c r="T75" s="0" t="n">
        <v>-1</v>
      </c>
      <c r="U75" s="0" t="n">
        <v>0.0306</v>
      </c>
      <c r="V75" s="0" t="s">
        <v>46</v>
      </c>
      <c r="W75" s="0" t="s">
        <v>46</v>
      </c>
      <c r="X75" s="0" t="s">
        <v>49</v>
      </c>
      <c r="Y75" s="0" t="s">
        <v>64</v>
      </c>
      <c r="Z75" s="0" t="s">
        <v>46</v>
      </c>
      <c r="AA75" s="0" t="s">
        <v>46</v>
      </c>
      <c r="AB75" s="0" t="s">
        <v>46</v>
      </c>
      <c r="AC75" s="0" t="s">
        <v>52</v>
      </c>
      <c r="AD75" s="0" t="s">
        <v>53</v>
      </c>
      <c r="AE75" s="0" t="s">
        <v>650</v>
      </c>
      <c r="AF75" s="0" t="s">
        <v>651</v>
      </c>
      <c r="AG75" s="0" t="s">
        <v>652</v>
      </c>
      <c r="AH75" s="0" t="s">
        <v>653</v>
      </c>
      <c r="AI75" s="0" t="s">
        <v>46</v>
      </c>
      <c r="AJ75" s="0" t="s">
        <v>46</v>
      </c>
      <c r="AK75" s="0" t="s">
        <v>46</v>
      </c>
      <c r="AL75" s="0" t="s">
        <v>46</v>
      </c>
    </row>
    <row r="76" customFormat="false" ht="15" hidden="false" customHeight="false" outlineLevel="0" collapsed="false">
      <c r="B76" s="0" t="str">
        <f aca="false">HYPERLINK("https://genome.ucsc.edu/cgi-bin/hgTracks?db=hg19&amp;position=chr1%3A109342742%2D109342742", "chr1:109342742")</f>
        <v>chr1:109342742</v>
      </c>
      <c r="C76" s="0" t="s">
        <v>71</v>
      </c>
      <c r="D76" s="0" t="n">
        <v>109342742</v>
      </c>
      <c r="E76" s="0" t="n">
        <v>109342742</v>
      </c>
      <c r="F76" s="0" t="s">
        <v>40</v>
      </c>
      <c r="G76" s="0" t="s">
        <v>58</v>
      </c>
      <c r="H76" s="0" t="s">
        <v>654</v>
      </c>
      <c r="I76" s="0" t="s">
        <v>346</v>
      </c>
      <c r="J76" s="0" t="s">
        <v>655</v>
      </c>
      <c r="K76" s="0" t="s">
        <v>46</v>
      </c>
      <c r="L76" s="0" t="str">
        <f aca="false">HYPERLINK("https://www.ncbi.nlm.nih.gov/snp/rs114643490", "rs114643490")</f>
        <v>rs114643490</v>
      </c>
      <c r="M76" s="0" t="str">
        <f aca="false">HYPERLINK("https://www.genecards.org/Search/Keyword?queryString=%5Baliases%5D(%20STXBP3%20)&amp;keywords=STXBP3", "STXBP3")</f>
        <v>STXBP3</v>
      </c>
      <c r="N76" s="0" t="s">
        <v>63</v>
      </c>
      <c r="O76" s="0" t="s">
        <v>46</v>
      </c>
      <c r="P76" s="0" t="s">
        <v>46</v>
      </c>
      <c r="Q76" s="0" t="n">
        <v>0.0229</v>
      </c>
      <c r="R76" s="0" t="n">
        <v>0.0115</v>
      </c>
      <c r="S76" s="0" t="n">
        <v>0.0125</v>
      </c>
      <c r="T76" s="0" t="n">
        <v>-1</v>
      </c>
      <c r="U76" s="0" t="n">
        <v>0.0122</v>
      </c>
      <c r="V76" s="0" t="s">
        <v>46</v>
      </c>
      <c r="W76" s="0" t="s">
        <v>46</v>
      </c>
      <c r="X76" s="0" t="s">
        <v>49</v>
      </c>
      <c r="Y76" s="0" t="s">
        <v>64</v>
      </c>
      <c r="Z76" s="0" t="s">
        <v>46</v>
      </c>
      <c r="AA76" s="0" t="s">
        <v>46</v>
      </c>
      <c r="AB76" s="0" t="s">
        <v>46</v>
      </c>
      <c r="AC76" s="0" t="s">
        <v>52</v>
      </c>
      <c r="AD76" s="0" t="s">
        <v>53</v>
      </c>
      <c r="AE76" s="0" t="s">
        <v>656</v>
      </c>
      <c r="AF76" s="0" t="s">
        <v>657</v>
      </c>
      <c r="AG76" s="0" t="s">
        <v>658</v>
      </c>
      <c r="AH76" s="0" t="s">
        <v>46</v>
      </c>
      <c r="AI76" s="0" t="s">
        <v>46</v>
      </c>
      <c r="AJ76" s="0" t="s">
        <v>46</v>
      </c>
      <c r="AK76" s="0" t="s">
        <v>46</v>
      </c>
      <c r="AL76" s="0" t="s">
        <v>46</v>
      </c>
    </row>
    <row r="77" customFormat="false" ht="15" hidden="false" customHeight="false" outlineLevel="0" collapsed="false">
      <c r="B77" s="0" t="str">
        <f aca="false">HYPERLINK("https://genome.ucsc.edu/cgi-bin/hgTracks?db=hg19&amp;position=chr1%3A110587337%2D110587337", "chr1:110587337")</f>
        <v>chr1:110587337</v>
      </c>
      <c r="C77" s="0" t="s">
        <v>71</v>
      </c>
      <c r="D77" s="0" t="n">
        <v>110587337</v>
      </c>
      <c r="E77" s="0" t="n">
        <v>110587337</v>
      </c>
      <c r="F77" s="0" t="s">
        <v>72</v>
      </c>
      <c r="G77" s="0" t="s">
        <v>58</v>
      </c>
      <c r="H77" s="0" t="s">
        <v>659</v>
      </c>
      <c r="I77" s="0" t="s">
        <v>660</v>
      </c>
      <c r="J77" s="0" t="s">
        <v>661</v>
      </c>
      <c r="K77" s="0" t="s">
        <v>46</v>
      </c>
      <c r="L77" s="0" t="str">
        <f aca="false">HYPERLINK("https://www.ncbi.nlm.nih.gov/snp/rs541696143", "rs541696143")</f>
        <v>rs541696143</v>
      </c>
      <c r="M77" s="0" t="str">
        <f aca="false">HYPERLINK("https://www.genecards.org/Search/Keyword?queryString=%5Baliases%5D(%20STRIP1%20)&amp;keywords=STRIP1", "STRIP1")</f>
        <v>STRIP1</v>
      </c>
      <c r="N77" s="0" t="s">
        <v>63</v>
      </c>
      <c r="O77" s="0" t="s">
        <v>46</v>
      </c>
      <c r="P77" s="0" t="s">
        <v>46</v>
      </c>
      <c r="Q77" s="0" t="n">
        <v>0.001</v>
      </c>
      <c r="R77" s="0" t="n">
        <v>-1</v>
      </c>
      <c r="S77" s="0" t="n">
        <v>-1</v>
      </c>
      <c r="T77" s="0" t="n">
        <v>-1</v>
      </c>
      <c r="U77" s="0" t="n">
        <v>-1</v>
      </c>
      <c r="V77" s="0" t="s">
        <v>46</v>
      </c>
      <c r="W77" s="0" t="s">
        <v>46</v>
      </c>
      <c r="X77" s="0" t="s">
        <v>385</v>
      </c>
      <c r="Y77" s="0" t="s">
        <v>64</v>
      </c>
      <c r="Z77" s="0" t="s">
        <v>46</v>
      </c>
      <c r="AA77" s="0" t="s">
        <v>46</v>
      </c>
      <c r="AB77" s="0" t="s">
        <v>46</v>
      </c>
      <c r="AC77" s="0" t="s">
        <v>52</v>
      </c>
      <c r="AD77" s="0" t="s">
        <v>53</v>
      </c>
      <c r="AE77" s="0" t="s">
        <v>662</v>
      </c>
      <c r="AF77" s="0" t="s">
        <v>663</v>
      </c>
      <c r="AG77" s="0" t="s">
        <v>664</v>
      </c>
      <c r="AH77" s="0" t="s">
        <v>46</v>
      </c>
      <c r="AI77" s="0" t="s">
        <v>46</v>
      </c>
      <c r="AJ77" s="0" t="s">
        <v>46</v>
      </c>
      <c r="AK77" s="0" t="s">
        <v>46</v>
      </c>
      <c r="AL77" s="0" t="s">
        <v>46</v>
      </c>
    </row>
    <row r="78" customFormat="false" ht="15" hidden="false" customHeight="false" outlineLevel="0" collapsed="false">
      <c r="B78" s="0" t="str">
        <f aca="false">HYPERLINK("https://genome.ucsc.edu/cgi-bin/hgTracks?db=hg19&amp;position=chr1%3A114397818%2D114397818", "chr1:114397818")</f>
        <v>chr1:114397818</v>
      </c>
      <c r="C78" s="0" t="s">
        <v>71</v>
      </c>
      <c r="D78" s="0" t="n">
        <v>114397818</v>
      </c>
      <c r="E78" s="0" t="n">
        <v>114397818</v>
      </c>
      <c r="F78" s="0" t="s">
        <v>40</v>
      </c>
      <c r="G78" s="0" t="s">
        <v>58</v>
      </c>
      <c r="H78" s="0" t="s">
        <v>665</v>
      </c>
      <c r="I78" s="0" t="s">
        <v>666</v>
      </c>
      <c r="J78" s="0" t="s">
        <v>667</v>
      </c>
      <c r="K78" s="0" t="s">
        <v>46</v>
      </c>
      <c r="L78" s="0" t="str">
        <f aca="false">HYPERLINK("https://www.ncbi.nlm.nih.gov/snp/rs56257068", "rs56257068")</f>
        <v>rs56257068</v>
      </c>
      <c r="M78" s="0" t="str">
        <f aca="false">HYPERLINK("https://www.genecards.org/Search/Keyword?queryString=%5Baliases%5D(%20AP4B1-AS1%20)%20OR%20%5Baliases%5D(%20PTPN22%20)&amp;keywords=AP4B1-AS1,PTPN22", "AP4B1-AS1;PTPN22")</f>
        <v>AP4B1-AS1;PTPN22</v>
      </c>
      <c r="N78" s="0" t="s">
        <v>366</v>
      </c>
      <c r="O78" s="0" t="s">
        <v>46</v>
      </c>
      <c r="P78" s="0" t="s">
        <v>46</v>
      </c>
      <c r="Q78" s="0" t="n">
        <v>0.003384</v>
      </c>
      <c r="R78" s="0" t="n">
        <v>0.002</v>
      </c>
      <c r="S78" s="0" t="n">
        <v>0.0028</v>
      </c>
      <c r="T78" s="0" t="n">
        <v>-1</v>
      </c>
      <c r="U78" s="0" t="n">
        <v>0.0011</v>
      </c>
      <c r="V78" s="0" t="s">
        <v>46</v>
      </c>
      <c r="W78" s="0" t="s">
        <v>46</v>
      </c>
      <c r="X78" s="0" t="s">
        <v>340</v>
      </c>
      <c r="Y78" s="0" t="s">
        <v>64</v>
      </c>
      <c r="Z78" s="0" t="s">
        <v>46</v>
      </c>
      <c r="AA78" s="0" t="s">
        <v>46</v>
      </c>
      <c r="AB78" s="0" t="s">
        <v>46</v>
      </c>
      <c r="AC78" s="0" t="s">
        <v>52</v>
      </c>
      <c r="AD78" s="0" t="s">
        <v>182</v>
      </c>
      <c r="AE78" s="0" t="s">
        <v>668</v>
      </c>
      <c r="AF78" s="0" t="s">
        <v>669</v>
      </c>
      <c r="AG78" s="0" t="s">
        <v>670</v>
      </c>
      <c r="AH78" s="0" t="s">
        <v>671</v>
      </c>
      <c r="AI78" s="0" t="s">
        <v>46</v>
      </c>
      <c r="AJ78" s="0" t="s">
        <v>46</v>
      </c>
      <c r="AK78" s="0" t="s">
        <v>46</v>
      </c>
      <c r="AL78" s="0" t="s">
        <v>46</v>
      </c>
    </row>
    <row r="79" customFormat="false" ht="15" hidden="false" customHeight="false" outlineLevel="0" collapsed="false">
      <c r="B79" s="0" t="str">
        <f aca="false">HYPERLINK("https://genome.ucsc.edu/cgi-bin/hgTracks?db=hg19&amp;position=chr1%3A115537600%2D115537600", "chr1:115537600")</f>
        <v>chr1:115537600</v>
      </c>
      <c r="C79" s="0" t="s">
        <v>71</v>
      </c>
      <c r="D79" s="0" t="n">
        <v>115537600</v>
      </c>
      <c r="E79" s="0" t="n">
        <v>115537600</v>
      </c>
      <c r="F79" s="0" t="s">
        <v>312</v>
      </c>
      <c r="G79" s="0" t="s">
        <v>72</v>
      </c>
      <c r="H79" s="0" t="s">
        <v>672</v>
      </c>
      <c r="I79" s="0" t="s">
        <v>673</v>
      </c>
      <c r="J79" s="0" t="s">
        <v>674</v>
      </c>
      <c r="K79" s="0" t="s">
        <v>46</v>
      </c>
      <c r="L79" s="0" t="str">
        <f aca="false">HYPERLINK("https://www.ncbi.nlm.nih.gov/snp/rs748774371", "rs748774371")</f>
        <v>rs748774371</v>
      </c>
      <c r="M79" s="0" t="str">
        <f aca="false">HYPERLINK("https://www.genecards.org/Search/Keyword?queryString=%5Baliases%5D(%20SYCP1%20)&amp;keywords=SYCP1", "SYCP1")</f>
        <v>SYCP1</v>
      </c>
      <c r="N79" s="0" t="s">
        <v>77</v>
      </c>
      <c r="O79" s="0" t="s">
        <v>357</v>
      </c>
      <c r="P79" s="0" t="s">
        <v>675</v>
      </c>
      <c r="Q79" s="0" t="n">
        <v>0.0164</v>
      </c>
      <c r="R79" s="0" t="n">
        <v>0.0049</v>
      </c>
      <c r="S79" s="0" t="n">
        <v>0.0044</v>
      </c>
      <c r="T79" s="0" t="n">
        <v>-1</v>
      </c>
      <c r="U79" s="0" t="n">
        <v>0.0128</v>
      </c>
      <c r="V79" s="0" t="s">
        <v>46</v>
      </c>
      <c r="W79" s="0" t="s">
        <v>46</v>
      </c>
      <c r="X79" s="0" t="s">
        <v>46</v>
      </c>
      <c r="Y79" s="0" t="s">
        <v>46</v>
      </c>
      <c r="Z79" s="0" t="s">
        <v>46</v>
      </c>
      <c r="AA79" s="0" t="s">
        <v>46</v>
      </c>
      <c r="AB79" s="0" t="s">
        <v>46</v>
      </c>
      <c r="AC79" s="0" t="s">
        <v>52</v>
      </c>
      <c r="AD79" s="0" t="s">
        <v>53</v>
      </c>
      <c r="AE79" s="0" t="s">
        <v>676</v>
      </c>
      <c r="AF79" s="0" t="s">
        <v>677</v>
      </c>
      <c r="AG79" s="0" t="s">
        <v>678</v>
      </c>
      <c r="AH79" s="0" t="s">
        <v>46</v>
      </c>
      <c r="AI79" s="0" t="s">
        <v>679</v>
      </c>
      <c r="AJ79" s="0" t="s">
        <v>46</v>
      </c>
      <c r="AK79" s="0" t="s">
        <v>46</v>
      </c>
      <c r="AL79" s="0" t="s">
        <v>46</v>
      </c>
    </row>
    <row r="80" customFormat="false" ht="15" hidden="false" customHeight="false" outlineLevel="0" collapsed="false">
      <c r="B80" s="0" t="str">
        <f aca="false">HYPERLINK("https://genome.ucsc.edu/cgi-bin/hgTracks?db=hg19&amp;position=chr1%3A117156326%2D117156326", "chr1:117156326")</f>
        <v>chr1:117156326</v>
      </c>
      <c r="C80" s="0" t="s">
        <v>71</v>
      </c>
      <c r="D80" s="0" t="n">
        <v>117156326</v>
      </c>
      <c r="E80" s="0" t="n">
        <v>117156326</v>
      </c>
      <c r="F80" s="0" t="s">
        <v>40</v>
      </c>
      <c r="G80" s="0" t="s">
        <v>39</v>
      </c>
      <c r="H80" s="0" t="s">
        <v>680</v>
      </c>
      <c r="I80" s="0" t="s">
        <v>673</v>
      </c>
      <c r="J80" s="0" t="s">
        <v>681</v>
      </c>
      <c r="K80" s="0" t="s">
        <v>46</v>
      </c>
      <c r="L80" s="0" t="str">
        <f aca="false">HYPERLINK("https://www.ncbi.nlm.nih.gov/snp/rs201074598", "rs201074598")</f>
        <v>rs201074598</v>
      </c>
      <c r="M80" s="0" t="str">
        <f aca="false">HYPERLINK("https://www.genecards.org/Search/Keyword?queryString=%5Baliases%5D(%20IGSF3%20)&amp;keywords=IGSF3", "IGSF3")</f>
        <v>IGSF3</v>
      </c>
      <c r="N80" s="0" t="s">
        <v>63</v>
      </c>
      <c r="O80" s="0" t="s">
        <v>46</v>
      </c>
      <c r="P80" s="0" t="s">
        <v>46</v>
      </c>
      <c r="Q80" s="0" t="n">
        <v>3.84E-005</v>
      </c>
      <c r="R80" s="0" t="n">
        <v>-1</v>
      </c>
      <c r="S80" s="0" t="n">
        <v>-1</v>
      </c>
      <c r="T80" s="0" t="n">
        <v>-1</v>
      </c>
      <c r="U80" s="0" t="n">
        <v>-1</v>
      </c>
      <c r="V80" s="0" t="s">
        <v>46</v>
      </c>
      <c r="W80" s="0" t="s">
        <v>46</v>
      </c>
      <c r="X80" s="0" t="s">
        <v>49</v>
      </c>
      <c r="Y80" s="0" t="s">
        <v>64</v>
      </c>
      <c r="Z80" s="0" t="s">
        <v>46</v>
      </c>
      <c r="AA80" s="0" t="s">
        <v>46</v>
      </c>
      <c r="AB80" s="0" t="s">
        <v>46</v>
      </c>
      <c r="AC80" s="0" t="s">
        <v>52</v>
      </c>
      <c r="AD80" s="0" t="s">
        <v>412</v>
      </c>
      <c r="AE80" s="0" t="s">
        <v>554</v>
      </c>
      <c r="AF80" s="0" t="s">
        <v>555</v>
      </c>
      <c r="AG80" s="0" t="s">
        <v>46</v>
      </c>
      <c r="AH80" s="0" t="s">
        <v>46</v>
      </c>
      <c r="AI80" s="0" t="s">
        <v>46</v>
      </c>
      <c r="AJ80" s="0" t="s">
        <v>46</v>
      </c>
      <c r="AK80" s="0" t="s">
        <v>46</v>
      </c>
      <c r="AL80" s="0" t="s">
        <v>397</v>
      </c>
    </row>
    <row r="81" customFormat="false" ht="15" hidden="false" customHeight="false" outlineLevel="0" collapsed="false">
      <c r="B81" s="0" t="str">
        <f aca="false">HYPERLINK("https://genome.ucsc.edu/cgi-bin/hgTracks?db=hg19&amp;position=chr1%3A146643849%2D146643849", "chr1:146643849")</f>
        <v>chr1:146643849</v>
      </c>
      <c r="C81" s="0" t="s">
        <v>71</v>
      </c>
      <c r="D81" s="0" t="n">
        <v>146643849</v>
      </c>
      <c r="E81" s="0" t="n">
        <v>146643849</v>
      </c>
      <c r="F81" s="0" t="s">
        <v>58</v>
      </c>
      <c r="G81" s="0" t="s">
        <v>39</v>
      </c>
      <c r="H81" s="0" t="s">
        <v>682</v>
      </c>
      <c r="I81" s="0" t="s">
        <v>346</v>
      </c>
      <c r="J81" s="0" t="s">
        <v>655</v>
      </c>
      <c r="K81" s="0" t="s">
        <v>46</v>
      </c>
      <c r="L81" s="0" t="s">
        <v>46</v>
      </c>
      <c r="M81" s="0" t="str">
        <f aca="false">HYPERLINK("https://www.genecards.org/Search/Keyword?queryString=%5Baliases%5D(%20NBPF19%20)%20OR%20%5Baliases%5D(%20PRKAB2%20)&amp;keywords=NBPF19,PRKAB2", "NBPF19;PRKAB2")</f>
        <v>NBPF19;PRKAB2</v>
      </c>
      <c r="N81" s="0" t="s">
        <v>63</v>
      </c>
      <c r="O81" s="0" t="s">
        <v>46</v>
      </c>
      <c r="P81" s="0" t="s">
        <v>46</v>
      </c>
      <c r="Q81" s="0" t="n">
        <v>7.199E-005</v>
      </c>
      <c r="R81" s="0" t="n">
        <v>9.035E-005</v>
      </c>
      <c r="S81" s="0" t="n">
        <v>-1</v>
      </c>
      <c r="T81" s="0" t="n">
        <v>-1</v>
      </c>
      <c r="U81" s="0" t="n">
        <v>-1</v>
      </c>
      <c r="V81" s="0" t="s">
        <v>46</v>
      </c>
      <c r="W81" s="0" t="s">
        <v>46</v>
      </c>
      <c r="X81" s="0" t="s">
        <v>385</v>
      </c>
      <c r="Y81" s="0" t="s">
        <v>64</v>
      </c>
      <c r="Z81" s="0" t="s">
        <v>46</v>
      </c>
      <c r="AA81" s="0" t="s">
        <v>46</v>
      </c>
      <c r="AB81" s="0" t="s">
        <v>46</v>
      </c>
      <c r="AC81" s="0" t="s">
        <v>52</v>
      </c>
      <c r="AD81" s="0" t="s">
        <v>182</v>
      </c>
      <c r="AE81" s="0" t="s">
        <v>683</v>
      </c>
      <c r="AF81" s="0" t="s">
        <v>684</v>
      </c>
      <c r="AG81" s="0" t="s">
        <v>685</v>
      </c>
      <c r="AH81" s="0" t="s">
        <v>46</v>
      </c>
      <c r="AI81" s="0" t="s">
        <v>46</v>
      </c>
      <c r="AJ81" s="0" t="s">
        <v>46</v>
      </c>
      <c r="AK81" s="0" t="s">
        <v>46</v>
      </c>
      <c r="AL81" s="0" t="s">
        <v>46</v>
      </c>
    </row>
    <row r="82" customFormat="false" ht="15" hidden="false" customHeight="false" outlineLevel="0" collapsed="false">
      <c r="B82" s="0" t="str">
        <f aca="false">HYPERLINK("https://genome.ucsc.edu/cgi-bin/hgTracks?db=hg19&amp;position=chr1%3A150245082%2D150245082", "chr1:150245082")</f>
        <v>chr1:150245082</v>
      </c>
      <c r="C82" s="0" t="s">
        <v>71</v>
      </c>
      <c r="D82" s="0" t="n">
        <v>150245082</v>
      </c>
      <c r="E82" s="0" t="n">
        <v>150245082</v>
      </c>
      <c r="F82" s="0" t="s">
        <v>58</v>
      </c>
      <c r="G82" s="0" t="s">
        <v>72</v>
      </c>
      <c r="H82" s="0" t="s">
        <v>686</v>
      </c>
      <c r="I82" s="0" t="s">
        <v>687</v>
      </c>
      <c r="J82" s="0" t="s">
        <v>688</v>
      </c>
      <c r="K82" s="0" t="s">
        <v>46</v>
      </c>
      <c r="L82" s="0" t="str">
        <f aca="false">HYPERLINK("https://www.ncbi.nlm.nih.gov/snp/rs139708128", "rs139708128")</f>
        <v>rs139708128</v>
      </c>
      <c r="M82" s="0" t="str">
        <f aca="false">HYPERLINK("https://www.genecards.org/Search/Keyword?queryString=%5Baliases%5D(%20C1orf54%20)&amp;keywords=C1orf54", "C1orf54")</f>
        <v>C1orf54</v>
      </c>
      <c r="N82" s="0" t="s">
        <v>63</v>
      </c>
      <c r="O82" s="0" t="s">
        <v>46</v>
      </c>
      <c r="P82" s="0" t="s">
        <v>46</v>
      </c>
      <c r="Q82" s="0" t="n">
        <v>0.0159</v>
      </c>
      <c r="R82" s="0" t="n">
        <v>0.0111</v>
      </c>
      <c r="S82" s="0" t="n">
        <v>0.0129</v>
      </c>
      <c r="T82" s="0" t="n">
        <v>-1</v>
      </c>
      <c r="U82" s="0" t="n">
        <v>0.0087</v>
      </c>
      <c r="V82" s="0" t="s">
        <v>46</v>
      </c>
      <c r="W82" s="0" t="s">
        <v>46</v>
      </c>
      <c r="X82" s="0" t="s">
        <v>49</v>
      </c>
      <c r="Y82" s="0" t="s">
        <v>64</v>
      </c>
      <c r="Z82" s="0" t="s">
        <v>46</v>
      </c>
      <c r="AA82" s="0" t="s">
        <v>46</v>
      </c>
      <c r="AB82" s="0" t="s">
        <v>46</v>
      </c>
      <c r="AC82" s="0" t="s">
        <v>52</v>
      </c>
      <c r="AD82" s="0" t="s">
        <v>53</v>
      </c>
      <c r="AE82" s="0" t="s">
        <v>689</v>
      </c>
      <c r="AF82" s="0" t="s">
        <v>690</v>
      </c>
      <c r="AG82" s="0" t="s">
        <v>46</v>
      </c>
      <c r="AH82" s="0" t="s">
        <v>46</v>
      </c>
      <c r="AI82" s="0" t="s">
        <v>46</v>
      </c>
      <c r="AJ82" s="0" t="s">
        <v>46</v>
      </c>
      <c r="AK82" s="0" t="s">
        <v>46</v>
      </c>
      <c r="AL82" s="0" t="s">
        <v>46</v>
      </c>
    </row>
    <row r="83" customFormat="false" ht="15" hidden="false" customHeight="false" outlineLevel="0" collapsed="false">
      <c r="B83" s="0" t="str">
        <f aca="false">HYPERLINK("https://genome.ucsc.edu/cgi-bin/hgTracks?db=hg19&amp;position=chr1%3A154144674%2D154144674", "chr1:154144674")</f>
        <v>chr1:154144674</v>
      </c>
      <c r="C83" s="0" t="s">
        <v>71</v>
      </c>
      <c r="D83" s="0" t="n">
        <v>154144674</v>
      </c>
      <c r="E83" s="0" t="n">
        <v>154144674</v>
      </c>
      <c r="F83" s="0" t="s">
        <v>72</v>
      </c>
      <c r="G83" s="0" t="s">
        <v>312</v>
      </c>
      <c r="H83" s="0" t="s">
        <v>691</v>
      </c>
      <c r="I83" s="0" t="s">
        <v>692</v>
      </c>
      <c r="J83" s="0" t="s">
        <v>693</v>
      </c>
      <c r="K83" s="0" t="s">
        <v>46</v>
      </c>
      <c r="L83" s="0" t="str">
        <f aca="false">HYPERLINK("https://www.ncbi.nlm.nih.gov/snp/rs761198665", "rs761198665")</f>
        <v>rs761198665</v>
      </c>
      <c r="M83" s="0" t="str">
        <f aca="false">HYPERLINK("https://www.genecards.org/Search/Keyword?queryString=%5Baliases%5D(%20TPM3%20)&amp;keywords=TPM3", "TPM3")</f>
        <v>TPM3</v>
      </c>
      <c r="N83" s="0" t="s">
        <v>601</v>
      </c>
      <c r="O83" s="0" t="s">
        <v>623</v>
      </c>
      <c r="P83" s="0" t="s">
        <v>694</v>
      </c>
      <c r="Q83" s="0" t="n">
        <v>0.0245146</v>
      </c>
      <c r="R83" s="0" t="n">
        <v>0.0003</v>
      </c>
      <c r="S83" s="0" t="n">
        <v>8.351E-005</v>
      </c>
      <c r="T83" s="0" t="n">
        <v>-1</v>
      </c>
      <c r="U83" s="0" t="n">
        <v>-1</v>
      </c>
      <c r="V83" s="0" t="s">
        <v>46</v>
      </c>
      <c r="W83" s="0" t="s">
        <v>46</v>
      </c>
      <c r="X83" s="0" t="s">
        <v>46</v>
      </c>
      <c r="Y83" s="0" t="s">
        <v>46</v>
      </c>
      <c r="Z83" s="0" t="s">
        <v>46</v>
      </c>
      <c r="AA83" s="0" t="s">
        <v>46</v>
      </c>
      <c r="AB83" s="0" t="s">
        <v>46</v>
      </c>
      <c r="AC83" s="0" t="s">
        <v>52</v>
      </c>
      <c r="AD83" s="0" t="s">
        <v>53</v>
      </c>
      <c r="AE83" s="0" t="s">
        <v>695</v>
      </c>
      <c r="AF83" s="0" t="s">
        <v>696</v>
      </c>
      <c r="AG83" s="0" t="s">
        <v>697</v>
      </c>
      <c r="AH83" s="0" t="s">
        <v>698</v>
      </c>
      <c r="AI83" s="0" t="s">
        <v>46</v>
      </c>
      <c r="AJ83" s="0" t="s">
        <v>46</v>
      </c>
      <c r="AK83" s="0" t="s">
        <v>46</v>
      </c>
      <c r="AL83" s="0" t="s">
        <v>46</v>
      </c>
    </row>
    <row r="84" customFormat="false" ht="15" hidden="false" customHeight="false" outlineLevel="0" collapsed="false">
      <c r="B84" s="0" t="str">
        <f aca="false">HYPERLINK("https://genome.ucsc.edu/cgi-bin/hgTracks?db=hg19&amp;position=chr1%3A155886422%2D155886423", "chr1:155886422")</f>
        <v>chr1:155886422</v>
      </c>
      <c r="C84" s="0" t="s">
        <v>71</v>
      </c>
      <c r="D84" s="0" t="n">
        <v>155886422</v>
      </c>
      <c r="E84" s="0" t="n">
        <v>155886423</v>
      </c>
      <c r="F84" s="0" t="s">
        <v>699</v>
      </c>
      <c r="G84" s="0" t="s">
        <v>312</v>
      </c>
      <c r="H84" s="0" t="s">
        <v>700</v>
      </c>
      <c r="I84" s="0" t="s">
        <v>701</v>
      </c>
      <c r="J84" s="0" t="s">
        <v>702</v>
      </c>
      <c r="K84" s="0" t="s">
        <v>46</v>
      </c>
      <c r="L84" s="0" t="str">
        <f aca="false">HYPERLINK("https://www.ncbi.nlm.nih.gov/snp/rs750586160", "rs750586160")</f>
        <v>rs750586160</v>
      </c>
      <c r="M84" s="0" t="str">
        <f aca="false">HYPERLINK("https://www.genecards.org/Search/Keyword?queryString=%5Baliases%5D(%20KHDC4%20)%20OR%20%5Baliases%5D(%20KIAA0907%20)&amp;keywords=KHDC4,KIAA0907", "KHDC4;KIAA0907")</f>
        <v>KHDC4;KIAA0907</v>
      </c>
      <c r="N84" s="0" t="s">
        <v>77</v>
      </c>
      <c r="O84" s="0" t="s">
        <v>623</v>
      </c>
      <c r="P84" s="0" t="s">
        <v>703</v>
      </c>
      <c r="Q84" s="0" t="n">
        <v>0.0002</v>
      </c>
      <c r="R84" s="0" t="n">
        <v>-1</v>
      </c>
      <c r="S84" s="0" t="n">
        <v>-1</v>
      </c>
      <c r="T84" s="0" t="n">
        <v>-1</v>
      </c>
      <c r="U84" s="0" t="n">
        <v>-1</v>
      </c>
      <c r="V84" s="0" t="s">
        <v>46</v>
      </c>
      <c r="W84" s="0" t="s">
        <v>46</v>
      </c>
      <c r="X84" s="0" t="s">
        <v>46</v>
      </c>
      <c r="Y84" s="0" t="s">
        <v>46</v>
      </c>
      <c r="Z84" s="0" t="s">
        <v>46</v>
      </c>
      <c r="AA84" s="0" t="s">
        <v>46</v>
      </c>
      <c r="AB84" s="0" t="s">
        <v>46</v>
      </c>
      <c r="AC84" s="0" t="s">
        <v>52</v>
      </c>
      <c r="AD84" s="0" t="s">
        <v>182</v>
      </c>
      <c r="AE84" s="0" t="s">
        <v>704</v>
      </c>
      <c r="AF84" s="0" t="s">
        <v>705</v>
      </c>
      <c r="AG84" s="0" t="s">
        <v>46</v>
      </c>
      <c r="AH84" s="0" t="s">
        <v>46</v>
      </c>
      <c r="AI84" s="0" t="s">
        <v>46</v>
      </c>
      <c r="AJ84" s="0" t="s">
        <v>46</v>
      </c>
      <c r="AK84" s="0" t="s">
        <v>46</v>
      </c>
      <c r="AL84" s="0" t="s">
        <v>46</v>
      </c>
    </row>
    <row r="85" customFormat="false" ht="15" hidden="false" customHeight="false" outlineLevel="0" collapsed="false">
      <c r="B85" s="0" t="str">
        <f aca="false">HYPERLINK("https://genome.ucsc.edu/cgi-bin/hgTracks?db=hg19&amp;position=chr1%3A161069587%2D161069587", "chr1:161069587")</f>
        <v>chr1:161069587</v>
      </c>
      <c r="C85" s="0" t="s">
        <v>71</v>
      </c>
      <c r="D85" s="0" t="n">
        <v>161069587</v>
      </c>
      <c r="E85" s="0" t="n">
        <v>161069587</v>
      </c>
      <c r="F85" s="0" t="s">
        <v>58</v>
      </c>
      <c r="G85" s="0" t="s">
        <v>40</v>
      </c>
      <c r="H85" s="0" t="s">
        <v>598</v>
      </c>
      <c r="I85" s="0" t="s">
        <v>706</v>
      </c>
      <c r="J85" s="0" t="s">
        <v>707</v>
      </c>
      <c r="K85" s="0" t="s">
        <v>46</v>
      </c>
      <c r="L85" s="0" t="str">
        <f aca="false">HYPERLINK("https://www.ncbi.nlm.nih.gov/snp/rs139418163", "rs139418163")</f>
        <v>rs139418163</v>
      </c>
      <c r="M85" s="0" t="str">
        <f aca="false">HYPERLINK("https://www.genecards.org/Search/Keyword?queryString=%5Baliases%5D(%20KLHDC9%20)&amp;keywords=KLHDC9", "KLHDC9")</f>
        <v>KLHDC9</v>
      </c>
      <c r="N85" s="0" t="s">
        <v>45</v>
      </c>
      <c r="O85" s="0" t="s">
        <v>46</v>
      </c>
      <c r="P85" s="0" t="s">
        <v>708</v>
      </c>
      <c r="Q85" s="0" t="n">
        <v>0.0007</v>
      </c>
      <c r="R85" s="0" t="n">
        <v>0.0005</v>
      </c>
      <c r="S85" s="0" t="n">
        <v>0.0004</v>
      </c>
      <c r="T85" s="0" t="n">
        <v>-1</v>
      </c>
      <c r="U85" s="0" t="n">
        <v>0.0005</v>
      </c>
      <c r="V85" s="0" t="s">
        <v>48</v>
      </c>
      <c r="W85" s="0" t="s">
        <v>49</v>
      </c>
      <c r="X85" s="0" t="s">
        <v>49</v>
      </c>
      <c r="Y85" s="0" t="s">
        <v>50</v>
      </c>
      <c r="Z85" s="0" t="s">
        <v>129</v>
      </c>
      <c r="AA85" s="0" t="s">
        <v>46</v>
      </c>
      <c r="AB85" s="0" t="s">
        <v>46</v>
      </c>
      <c r="AC85" s="0" t="s">
        <v>52</v>
      </c>
      <c r="AD85" s="0" t="s">
        <v>53</v>
      </c>
      <c r="AE85" s="0" t="s">
        <v>709</v>
      </c>
      <c r="AF85" s="0" t="s">
        <v>710</v>
      </c>
      <c r="AG85" s="0" t="s">
        <v>46</v>
      </c>
      <c r="AH85" s="0" t="s">
        <v>46</v>
      </c>
      <c r="AI85" s="0" t="s">
        <v>46</v>
      </c>
      <c r="AJ85" s="0" t="s">
        <v>46</v>
      </c>
      <c r="AK85" s="0" t="s">
        <v>46</v>
      </c>
      <c r="AL85" s="0" t="s">
        <v>46</v>
      </c>
    </row>
    <row r="86" customFormat="false" ht="15" hidden="false" customHeight="false" outlineLevel="0" collapsed="false">
      <c r="B86" s="0" t="str">
        <f aca="false">HYPERLINK("https://genome.ucsc.edu/cgi-bin/hgTracks?db=hg19&amp;position=chr1%3A161519396%2D161519396", "chr1:161519396")</f>
        <v>chr1:161519396</v>
      </c>
      <c r="C86" s="0" t="s">
        <v>71</v>
      </c>
      <c r="D86" s="0" t="n">
        <v>161519396</v>
      </c>
      <c r="E86" s="0" t="n">
        <v>161519396</v>
      </c>
      <c r="F86" s="0" t="s">
        <v>40</v>
      </c>
      <c r="G86" s="0" t="s">
        <v>39</v>
      </c>
      <c r="H86" s="0" t="s">
        <v>711</v>
      </c>
      <c r="I86" s="0" t="s">
        <v>424</v>
      </c>
      <c r="J86" s="0" t="s">
        <v>712</v>
      </c>
      <c r="K86" s="0" t="s">
        <v>46</v>
      </c>
      <c r="L86" s="0" t="str">
        <f aca="false">HYPERLINK("https://www.ncbi.nlm.nih.gov/snp/rs200310043", "rs200310043")</f>
        <v>rs200310043</v>
      </c>
      <c r="M86" s="0" t="str">
        <f aca="false">HYPERLINK("https://www.genecards.org/Search/Keyword?queryString=%5Baliases%5D(%20FCGR3A%20)&amp;keywords=FCGR3A", "FCGR3A")</f>
        <v>FCGR3A</v>
      </c>
      <c r="N86" s="0" t="s">
        <v>366</v>
      </c>
      <c r="O86" s="0" t="s">
        <v>46</v>
      </c>
      <c r="P86" s="0" t="s">
        <v>46</v>
      </c>
      <c r="Q86" s="0" t="n">
        <v>0.028736</v>
      </c>
      <c r="R86" s="0" t="n">
        <v>0.0013</v>
      </c>
      <c r="S86" s="0" t="n">
        <v>0.0007</v>
      </c>
      <c r="T86" s="0" t="n">
        <v>-1</v>
      </c>
      <c r="U86" s="0" t="n">
        <v>0.0013</v>
      </c>
      <c r="V86" s="0" t="s">
        <v>46</v>
      </c>
      <c r="W86" s="0" t="s">
        <v>46</v>
      </c>
      <c r="X86" s="0" t="s">
        <v>340</v>
      </c>
      <c r="Y86" s="0" t="s">
        <v>64</v>
      </c>
      <c r="Z86" s="0" t="s">
        <v>46</v>
      </c>
      <c r="AA86" s="0" t="s">
        <v>46</v>
      </c>
      <c r="AB86" s="0" t="s">
        <v>46</v>
      </c>
      <c r="AC86" s="0" t="s">
        <v>52</v>
      </c>
      <c r="AD86" s="0" t="s">
        <v>53</v>
      </c>
      <c r="AE86" s="0" t="s">
        <v>713</v>
      </c>
      <c r="AF86" s="0" t="s">
        <v>714</v>
      </c>
      <c r="AG86" s="0" t="s">
        <v>715</v>
      </c>
      <c r="AH86" s="0" t="s">
        <v>716</v>
      </c>
      <c r="AI86" s="0" t="s">
        <v>46</v>
      </c>
      <c r="AJ86" s="0" t="s">
        <v>46</v>
      </c>
      <c r="AK86" s="0" t="s">
        <v>46</v>
      </c>
      <c r="AL86" s="0" t="s">
        <v>46</v>
      </c>
    </row>
    <row r="87" customFormat="false" ht="15" hidden="false" customHeight="false" outlineLevel="0" collapsed="false">
      <c r="B87" s="0" t="str">
        <f aca="false">HYPERLINK("https://genome.ucsc.edu/cgi-bin/hgTracks?db=hg19&amp;position=chr1%3A198698349%2D198698349", "chr1:198698349")</f>
        <v>chr1:198698349</v>
      </c>
      <c r="C87" s="0" t="s">
        <v>71</v>
      </c>
      <c r="D87" s="0" t="n">
        <v>198698349</v>
      </c>
      <c r="E87" s="0" t="n">
        <v>198698349</v>
      </c>
      <c r="F87" s="0" t="s">
        <v>72</v>
      </c>
      <c r="G87" s="0" t="s">
        <v>58</v>
      </c>
      <c r="H87" s="0" t="s">
        <v>717</v>
      </c>
      <c r="I87" s="0" t="s">
        <v>718</v>
      </c>
      <c r="J87" s="0" t="s">
        <v>719</v>
      </c>
      <c r="K87" s="0" t="s">
        <v>46</v>
      </c>
      <c r="L87" s="0" t="str">
        <f aca="false">HYPERLINK("https://www.ncbi.nlm.nih.gov/snp/rs190387811", "rs190387811")</f>
        <v>rs190387811</v>
      </c>
      <c r="M87" s="0" t="str">
        <f aca="false">HYPERLINK("https://www.genecards.org/Search/Keyword?queryString=%5Baliases%5D(%20PTPRC%20)&amp;keywords=PTPRC", "PTPRC")</f>
        <v>PTPRC</v>
      </c>
      <c r="N87" s="0" t="s">
        <v>63</v>
      </c>
      <c r="O87" s="0" t="s">
        <v>46</v>
      </c>
      <c r="P87" s="0" t="s">
        <v>46</v>
      </c>
      <c r="Q87" s="0" t="n">
        <v>0.009031</v>
      </c>
      <c r="R87" s="0" t="n">
        <v>0.0062</v>
      </c>
      <c r="S87" s="0" t="n">
        <v>0.0072</v>
      </c>
      <c r="T87" s="0" t="n">
        <v>-1</v>
      </c>
      <c r="U87" s="0" t="n">
        <v>0.0081</v>
      </c>
      <c r="V87" s="0" t="s">
        <v>46</v>
      </c>
      <c r="W87" s="0" t="s">
        <v>46</v>
      </c>
      <c r="X87" s="0" t="s">
        <v>49</v>
      </c>
      <c r="Y87" s="0" t="s">
        <v>64</v>
      </c>
      <c r="Z87" s="0" t="s">
        <v>46</v>
      </c>
      <c r="AA87" s="0" t="s">
        <v>46</v>
      </c>
      <c r="AB87" s="0" t="s">
        <v>46</v>
      </c>
      <c r="AC87" s="0" t="s">
        <v>52</v>
      </c>
      <c r="AD87" s="0" t="s">
        <v>53</v>
      </c>
      <c r="AE87" s="0" t="s">
        <v>720</v>
      </c>
      <c r="AF87" s="0" t="s">
        <v>721</v>
      </c>
      <c r="AG87" s="0" t="s">
        <v>722</v>
      </c>
      <c r="AH87" s="0" t="s">
        <v>723</v>
      </c>
      <c r="AI87" s="0" t="s">
        <v>46</v>
      </c>
      <c r="AJ87" s="0" t="s">
        <v>46</v>
      </c>
      <c r="AK87" s="0" t="s">
        <v>46</v>
      </c>
      <c r="AL87" s="0" t="s">
        <v>46</v>
      </c>
    </row>
    <row r="88" customFormat="false" ht="15" hidden="false" customHeight="false" outlineLevel="0" collapsed="false">
      <c r="B88" s="0" t="str">
        <f aca="false">HYPERLINK("https://genome.ucsc.edu/cgi-bin/hgTracks?db=hg19&amp;position=chr1%3A206137527%2D206137527", "chr1:206137527")</f>
        <v>chr1:206137527</v>
      </c>
      <c r="C88" s="0" t="s">
        <v>71</v>
      </c>
      <c r="D88" s="0" t="n">
        <v>206137527</v>
      </c>
      <c r="E88" s="0" t="n">
        <v>206137527</v>
      </c>
      <c r="F88" s="0" t="s">
        <v>58</v>
      </c>
      <c r="G88" s="0" t="s">
        <v>72</v>
      </c>
      <c r="H88" s="0" t="s">
        <v>724</v>
      </c>
      <c r="I88" s="0" t="s">
        <v>725</v>
      </c>
      <c r="J88" s="0" t="s">
        <v>726</v>
      </c>
      <c r="K88" s="0" t="s">
        <v>46</v>
      </c>
      <c r="L88" s="0" t="str">
        <f aca="false">HYPERLINK("https://www.ncbi.nlm.nih.gov/snp/rs782314702", "rs782314702")</f>
        <v>rs782314702</v>
      </c>
      <c r="M88" s="0" t="str">
        <f aca="false">HYPERLINK("https://www.genecards.org/Search/Keyword?queryString=%5Baliases%5D(%20FAM72A%20)&amp;keywords=FAM72A", "FAM72A")</f>
        <v>FAM72A</v>
      </c>
      <c r="N88" s="0" t="s">
        <v>727</v>
      </c>
      <c r="O88" s="0" t="s">
        <v>46</v>
      </c>
      <c r="P88" s="0" t="s">
        <v>728</v>
      </c>
      <c r="Q88" s="0" t="n">
        <v>0.0059896</v>
      </c>
      <c r="R88" s="0" t="n">
        <v>0.0004</v>
      </c>
      <c r="S88" s="0" t="n">
        <v>0.0007</v>
      </c>
      <c r="T88" s="0" t="n">
        <v>-1</v>
      </c>
      <c r="U88" s="0" t="n">
        <v>0.0004</v>
      </c>
      <c r="V88" s="0" t="s">
        <v>46</v>
      </c>
      <c r="W88" s="0" t="s">
        <v>46</v>
      </c>
      <c r="X88" s="0" t="s">
        <v>49</v>
      </c>
      <c r="Y88" s="0" t="s">
        <v>64</v>
      </c>
      <c r="Z88" s="0" t="s">
        <v>46</v>
      </c>
      <c r="AA88" s="0" t="s">
        <v>46</v>
      </c>
      <c r="AB88" s="0" t="s">
        <v>46</v>
      </c>
      <c r="AC88" s="0" t="s">
        <v>52</v>
      </c>
      <c r="AD88" s="0" t="s">
        <v>53</v>
      </c>
      <c r="AE88" s="0" t="s">
        <v>46</v>
      </c>
      <c r="AF88" s="0" t="s">
        <v>729</v>
      </c>
      <c r="AG88" s="0" t="s">
        <v>730</v>
      </c>
      <c r="AH88" s="0" t="s">
        <v>46</v>
      </c>
      <c r="AI88" s="0" t="s">
        <v>46</v>
      </c>
      <c r="AJ88" s="0" t="s">
        <v>46</v>
      </c>
      <c r="AK88" s="0" t="s">
        <v>46</v>
      </c>
      <c r="AL88" s="0" t="s">
        <v>46</v>
      </c>
    </row>
    <row r="89" s="2" customFormat="true" ht="15" hidden="false" customHeight="false" outlineLevel="0" collapsed="false">
      <c r="B89" s="2" t="str">
        <f aca="false">HYPERLINK("https://genome.ucsc.edu/cgi-bin/hgTracks?db=hg19&amp;position=chr1%3A237868435%2D237868435", "chr1:237868435")</f>
        <v>chr1:237868435</v>
      </c>
      <c r="C89" s="2" t="s">
        <v>71</v>
      </c>
      <c r="D89" s="2" t="n">
        <v>237868435</v>
      </c>
      <c r="E89" s="2" t="n">
        <v>237868435</v>
      </c>
      <c r="F89" s="2" t="s">
        <v>39</v>
      </c>
      <c r="G89" s="2" t="s">
        <v>72</v>
      </c>
      <c r="H89" s="2" t="s">
        <v>731</v>
      </c>
      <c r="I89" s="2" t="s">
        <v>732</v>
      </c>
      <c r="J89" s="2" t="s">
        <v>733</v>
      </c>
      <c r="K89" s="2" t="s">
        <v>46</v>
      </c>
      <c r="L89" s="2" t="s">
        <v>46</v>
      </c>
      <c r="M89" s="2" t="str">
        <f aca="false">HYPERLINK("https://www.genecards.org/Search/Keyword?queryString=%5Baliases%5D(%20RYR2%20)&amp;keywords=RYR2", "RYR2")</f>
        <v>RYR2</v>
      </c>
      <c r="N89" s="2" t="s">
        <v>63</v>
      </c>
      <c r="O89" s="2" t="s">
        <v>46</v>
      </c>
      <c r="P89" s="2" t="s">
        <v>46</v>
      </c>
      <c r="Q89" s="2" t="n">
        <v>-1</v>
      </c>
      <c r="R89" s="2" t="n">
        <v>-1</v>
      </c>
      <c r="S89" s="2" t="n">
        <v>-1</v>
      </c>
      <c r="T89" s="2" t="n">
        <v>-1</v>
      </c>
      <c r="U89" s="2" t="n">
        <v>-1</v>
      </c>
      <c r="V89" s="2" t="s">
        <v>46</v>
      </c>
      <c r="W89" s="2" t="s">
        <v>46</v>
      </c>
      <c r="X89" s="2" t="s">
        <v>385</v>
      </c>
      <c r="Y89" s="2" t="s">
        <v>64</v>
      </c>
      <c r="Z89" s="2" t="s">
        <v>46</v>
      </c>
      <c r="AA89" s="2" t="s">
        <v>46</v>
      </c>
      <c r="AB89" s="2" t="s">
        <v>46</v>
      </c>
      <c r="AC89" s="2" t="s">
        <v>52</v>
      </c>
      <c r="AD89" s="2" t="s">
        <v>53</v>
      </c>
      <c r="AE89" s="2" t="s">
        <v>734</v>
      </c>
      <c r="AF89" s="2" t="s">
        <v>735</v>
      </c>
      <c r="AG89" s="2" t="s">
        <v>736</v>
      </c>
      <c r="AH89" s="2" t="s">
        <v>737</v>
      </c>
      <c r="AI89" s="2" t="s">
        <v>46</v>
      </c>
      <c r="AJ89" s="2" t="s">
        <v>46</v>
      </c>
      <c r="AK89" s="2" t="s">
        <v>46</v>
      </c>
      <c r="AL89" s="2" t="s">
        <v>46</v>
      </c>
    </row>
    <row r="90" customFormat="false" ht="15" hidden="false" customHeight="false" outlineLevel="0" collapsed="false">
      <c r="B90" s="0" t="str">
        <f aca="false">HYPERLINK("https://genome.ucsc.edu/cgi-bin/hgTracks?db=hg19&amp;position=chr1%3A245850707%2D245850711", "chr1:245850707")</f>
        <v>chr1:245850707</v>
      </c>
      <c r="C90" s="0" t="s">
        <v>71</v>
      </c>
      <c r="D90" s="0" t="n">
        <v>245850707</v>
      </c>
      <c r="E90" s="0" t="n">
        <v>245850711</v>
      </c>
      <c r="F90" s="0" t="s">
        <v>738</v>
      </c>
      <c r="G90" s="0" t="s">
        <v>312</v>
      </c>
      <c r="H90" s="0" t="s">
        <v>739</v>
      </c>
      <c r="I90" s="0" t="s">
        <v>740</v>
      </c>
      <c r="J90" s="0" t="s">
        <v>741</v>
      </c>
      <c r="K90" s="0" t="s">
        <v>46</v>
      </c>
      <c r="L90" s="0" t="s">
        <v>46</v>
      </c>
      <c r="M90" s="0" t="str">
        <f aca="false">HYPERLINK("https://www.genecards.org/Search/Keyword?queryString=%5Baliases%5D(%20KIF26B%20)&amp;keywords=KIF26B", "KIF26B")</f>
        <v>KIF26B</v>
      </c>
      <c r="N90" s="0" t="s">
        <v>77</v>
      </c>
      <c r="O90" s="0" t="s">
        <v>623</v>
      </c>
      <c r="P90" s="0" t="s">
        <v>742</v>
      </c>
      <c r="Q90" s="0" t="n">
        <v>-1</v>
      </c>
      <c r="R90" s="0" t="n">
        <v>-1</v>
      </c>
      <c r="S90" s="0" t="n">
        <v>-1</v>
      </c>
      <c r="T90" s="0" t="n">
        <v>-1</v>
      </c>
      <c r="U90" s="0" t="n">
        <v>-1</v>
      </c>
      <c r="V90" s="0" t="s">
        <v>46</v>
      </c>
      <c r="W90" s="0" t="s">
        <v>46</v>
      </c>
      <c r="X90" s="0" t="s">
        <v>46</v>
      </c>
      <c r="Y90" s="0" t="s">
        <v>46</v>
      </c>
      <c r="Z90" s="0" t="s">
        <v>46</v>
      </c>
      <c r="AA90" s="0" t="s">
        <v>46</v>
      </c>
      <c r="AB90" s="0" t="s">
        <v>46</v>
      </c>
      <c r="AC90" s="0" t="s">
        <v>52</v>
      </c>
      <c r="AD90" s="0" t="s">
        <v>53</v>
      </c>
      <c r="AE90" s="0" t="s">
        <v>743</v>
      </c>
      <c r="AF90" s="0" t="s">
        <v>744</v>
      </c>
      <c r="AG90" s="0" t="s">
        <v>745</v>
      </c>
      <c r="AH90" s="0" t="s">
        <v>46</v>
      </c>
      <c r="AI90" s="0" t="s">
        <v>46</v>
      </c>
      <c r="AJ90" s="0" t="s">
        <v>46</v>
      </c>
      <c r="AK90" s="0" t="s">
        <v>46</v>
      </c>
      <c r="AL90" s="0" t="s">
        <v>46</v>
      </c>
    </row>
    <row r="91" customFormat="false" ht="15" hidden="false" customHeight="false" outlineLevel="0" collapsed="false">
      <c r="B91" s="0" t="str">
        <f aca="false">HYPERLINK("https://genome.ucsc.edu/cgi-bin/hgTracks?db=hg19&amp;position=chr10%3A5808198%2D5808198", "chr10:5808198")</f>
        <v>chr10:5808198</v>
      </c>
      <c r="C91" s="0" t="s">
        <v>311</v>
      </c>
      <c r="D91" s="0" t="n">
        <v>5808198</v>
      </c>
      <c r="E91" s="0" t="n">
        <v>5808198</v>
      </c>
      <c r="F91" s="0" t="s">
        <v>72</v>
      </c>
      <c r="G91" s="0" t="s">
        <v>58</v>
      </c>
      <c r="H91" s="0" t="s">
        <v>746</v>
      </c>
      <c r="I91" s="0" t="s">
        <v>454</v>
      </c>
      <c r="J91" s="0" t="s">
        <v>747</v>
      </c>
      <c r="K91" s="0" t="s">
        <v>46</v>
      </c>
      <c r="L91" s="0" t="s">
        <v>46</v>
      </c>
      <c r="M91" s="0" t="str">
        <f aca="false">HYPERLINK("https://www.genecards.org/Search/Keyword?queryString=%5Baliases%5D(%20GDI2%20)&amp;keywords=GDI2", "GDI2")</f>
        <v>GDI2</v>
      </c>
      <c r="N91" s="0" t="s">
        <v>63</v>
      </c>
      <c r="O91" s="0" t="s">
        <v>46</v>
      </c>
      <c r="P91" s="0" t="s">
        <v>46</v>
      </c>
      <c r="Q91" s="0" t="n">
        <v>-1</v>
      </c>
      <c r="R91" s="0" t="n">
        <v>-1</v>
      </c>
      <c r="S91" s="0" t="n">
        <v>-1</v>
      </c>
      <c r="T91" s="0" t="n">
        <v>-1</v>
      </c>
      <c r="U91" s="0" t="n">
        <v>-1</v>
      </c>
      <c r="V91" s="0" t="s">
        <v>46</v>
      </c>
      <c r="W91" s="0" t="s">
        <v>39</v>
      </c>
      <c r="X91" s="0" t="s">
        <v>49</v>
      </c>
      <c r="Y91" s="0" t="s">
        <v>50</v>
      </c>
      <c r="Z91" s="0" t="s">
        <v>46</v>
      </c>
      <c r="AA91" s="0" t="s">
        <v>46</v>
      </c>
      <c r="AB91" s="0" t="s">
        <v>46</v>
      </c>
      <c r="AC91" s="0" t="s">
        <v>52</v>
      </c>
      <c r="AD91" s="0" t="s">
        <v>53</v>
      </c>
      <c r="AE91" s="0" t="s">
        <v>748</v>
      </c>
      <c r="AF91" s="0" t="s">
        <v>749</v>
      </c>
      <c r="AG91" s="0" t="s">
        <v>750</v>
      </c>
      <c r="AH91" s="0" t="s">
        <v>46</v>
      </c>
      <c r="AI91" s="0" t="s">
        <v>46</v>
      </c>
      <c r="AJ91" s="0" t="s">
        <v>46</v>
      </c>
      <c r="AK91" s="0" t="s">
        <v>46</v>
      </c>
      <c r="AL91" s="0" t="s">
        <v>46</v>
      </c>
    </row>
    <row r="92" customFormat="false" ht="15" hidden="false" customHeight="false" outlineLevel="0" collapsed="false">
      <c r="B92" s="0" t="str">
        <f aca="false">HYPERLINK("https://genome.ucsc.edu/cgi-bin/hgTracks?db=hg19&amp;position=chr10%3A16806587%2D16806587", "chr10:16806587")</f>
        <v>chr10:16806587</v>
      </c>
      <c r="C92" s="0" t="s">
        <v>311</v>
      </c>
      <c r="D92" s="0" t="n">
        <v>16806587</v>
      </c>
      <c r="E92" s="0" t="n">
        <v>16806587</v>
      </c>
      <c r="F92" s="0" t="s">
        <v>39</v>
      </c>
      <c r="G92" s="0" t="s">
        <v>40</v>
      </c>
      <c r="H92" s="0" t="s">
        <v>751</v>
      </c>
      <c r="I92" s="0" t="s">
        <v>752</v>
      </c>
      <c r="J92" s="0" t="s">
        <v>753</v>
      </c>
      <c r="K92" s="0" t="s">
        <v>46</v>
      </c>
      <c r="L92" s="0" t="str">
        <f aca="false">HYPERLINK("https://www.ncbi.nlm.nih.gov/snp/rs560273411", "rs560273411")</f>
        <v>rs560273411</v>
      </c>
      <c r="M92" s="0" t="str">
        <f aca="false">HYPERLINK("https://www.genecards.org/Search/Keyword?queryString=%5Baliases%5D(%20RSU1%20)&amp;keywords=RSU1", "RSU1")</f>
        <v>RSU1</v>
      </c>
      <c r="N92" s="0" t="s">
        <v>63</v>
      </c>
      <c r="O92" s="0" t="s">
        <v>46</v>
      </c>
      <c r="P92" s="0" t="s">
        <v>46</v>
      </c>
      <c r="Q92" s="0" t="n">
        <v>0.0051</v>
      </c>
      <c r="R92" s="0" t="n">
        <v>0.0002</v>
      </c>
      <c r="S92" s="0" t="n">
        <v>7.339E-005</v>
      </c>
      <c r="T92" s="0" t="n">
        <v>-1</v>
      </c>
      <c r="U92" s="0" t="n">
        <v>0.0002</v>
      </c>
      <c r="V92" s="0" t="s">
        <v>46</v>
      </c>
      <c r="W92" s="0" t="s">
        <v>46</v>
      </c>
      <c r="X92" s="0" t="s">
        <v>49</v>
      </c>
      <c r="Y92" s="0" t="s">
        <v>64</v>
      </c>
      <c r="Z92" s="0" t="s">
        <v>46</v>
      </c>
      <c r="AA92" s="0" t="s">
        <v>46</v>
      </c>
      <c r="AB92" s="0" t="s">
        <v>46</v>
      </c>
      <c r="AC92" s="0" t="s">
        <v>52</v>
      </c>
      <c r="AD92" s="0" t="s">
        <v>53</v>
      </c>
      <c r="AE92" s="0" t="s">
        <v>754</v>
      </c>
      <c r="AF92" s="0" t="s">
        <v>755</v>
      </c>
      <c r="AG92" s="0" t="s">
        <v>756</v>
      </c>
      <c r="AH92" s="0" t="s">
        <v>46</v>
      </c>
      <c r="AI92" s="0" t="s">
        <v>46</v>
      </c>
      <c r="AJ92" s="0" t="s">
        <v>46</v>
      </c>
      <c r="AK92" s="0" t="s">
        <v>46</v>
      </c>
      <c r="AL92" s="0" t="s">
        <v>46</v>
      </c>
    </row>
    <row r="93" customFormat="false" ht="15" hidden="false" customHeight="false" outlineLevel="0" collapsed="false">
      <c r="B93" s="0" t="str">
        <f aca="false">HYPERLINK("https://genome.ucsc.edu/cgi-bin/hgTracks?db=hg19&amp;position=chr10%3A18828671%2D18828671", "chr10:18828671")</f>
        <v>chr10:18828671</v>
      </c>
      <c r="C93" s="0" t="s">
        <v>311</v>
      </c>
      <c r="D93" s="0" t="n">
        <v>18828671</v>
      </c>
      <c r="E93" s="0" t="n">
        <v>18828671</v>
      </c>
      <c r="F93" s="0" t="s">
        <v>39</v>
      </c>
      <c r="G93" s="0" t="s">
        <v>40</v>
      </c>
      <c r="H93" s="0" t="s">
        <v>757</v>
      </c>
      <c r="I93" s="0" t="s">
        <v>758</v>
      </c>
      <c r="J93" s="0" t="s">
        <v>759</v>
      </c>
      <c r="K93" s="0" t="s">
        <v>46</v>
      </c>
      <c r="L93" s="0" t="str">
        <f aca="false">HYPERLINK("https://www.ncbi.nlm.nih.gov/snp/rs777583393", "rs777583393")</f>
        <v>rs777583393</v>
      </c>
      <c r="M93" s="0" t="str">
        <f aca="false">HYPERLINK("https://www.genecards.org/Search/Keyword?queryString=%5Baliases%5D(%20CACNB2%20)%20OR%20%5Baliases%5D(%20U80764%20)&amp;keywords=CACNB2,U80764", "CACNB2;U80764")</f>
        <v>CACNB2;U80764</v>
      </c>
      <c r="N93" s="0" t="s">
        <v>338</v>
      </c>
      <c r="O93" s="0" t="s">
        <v>46</v>
      </c>
      <c r="P93" s="0" t="s">
        <v>760</v>
      </c>
      <c r="Q93" s="0" t="n">
        <v>0.0185</v>
      </c>
      <c r="R93" s="0" t="n">
        <v>0.0195</v>
      </c>
      <c r="S93" s="0" t="n">
        <v>0.0082</v>
      </c>
      <c r="T93" s="0" t="n">
        <v>-1</v>
      </c>
      <c r="U93" s="0" t="n">
        <v>0.0294</v>
      </c>
      <c r="V93" s="0" t="s">
        <v>46</v>
      </c>
      <c r="W93" s="0" t="s">
        <v>46</v>
      </c>
      <c r="X93" s="0" t="s">
        <v>46</v>
      </c>
      <c r="Y93" s="0" t="s">
        <v>46</v>
      </c>
      <c r="Z93" s="0" t="s">
        <v>46</v>
      </c>
      <c r="AA93" s="0" t="s">
        <v>46</v>
      </c>
      <c r="AB93" s="0" t="s">
        <v>46</v>
      </c>
      <c r="AC93" s="0" t="s">
        <v>52</v>
      </c>
      <c r="AD93" s="0" t="s">
        <v>182</v>
      </c>
      <c r="AE93" s="0" t="s">
        <v>761</v>
      </c>
      <c r="AF93" s="0" t="s">
        <v>762</v>
      </c>
      <c r="AG93" s="0" t="s">
        <v>763</v>
      </c>
      <c r="AH93" s="0" t="s">
        <v>764</v>
      </c>
      <c r="AI93" s="0" t="s">
        <v>46</v>
      </c>
      <c r="AJ93" s="0" t="s">
        <v>46</v>
      </c>
      <c r="AK93" s="0" t="s">
        <v>46</v>
      </c>
      <c r="AL93" s="0" t="s">
        <v>46</v>
      </c>
    </row>
    <row r="94" customFormat="false" ht="15" hidden="false" customHeight="false" outlineLevel="0" collapsed="false">
      <c r="B94" s="0" t="str">
        <f aca="false">HYPERLINK("https://genome.ucsc.edu/cgi-bin/hgTracks?db=hg19&amp;position=chr10%3A28970577%2D28970577", "chr10:28970577")</f>
        <v>chr10:28970577</v>
      </c>
      <c r="C94" s="0" t="s">
        <v>311</v>
      </c>
      <c r="D94" s="0" t="n">
        <v>28970577</v>
      </c>
      <c r="E94" s="0" t="n">
        <v>28970577</v>
      </c>
      <c r="F94" s="0" t="s">
        <v>58</v>
      </c>
      <c r="G94" s="0" t="s">
        <v>72</v>
      </c>
      <c r="H94" s="0" t="s">
        <v>765</v>
      </c>
      <c r="I94" s="0" t="s">
        <v>660</v>
      </c>
      <c r="J94" s="0" t="s">
        <v>766</v>
      </c>
      <c r="K94" s="0" t="s">
        <v>46</v>
      </c>
      <c r="L94" s="0" t="str">
        <f aca="false">HYPERLINK("https://www.ncbi.nlm.nih.gov/snp/rs180834414", "rs180834414")</f>
        <v>rs180834414</v>
      </c>
      <c r="M94" s="0" t="str">
        <f aca="false">HYPERLINK("https://www.genecards.org/Search/Keyword?queryString=%5Baliases%5D(%20BAMBI%20)&amp;keywords=BAMBI", "BAMBI")</f>
        <v>BAMBI</v>
      </c>
      <c r="N94" s="0" t="s">
        <v>63</v>
      </c>
      <c r="O94" s="0" t="s">
        <v>46</v>
      </c>
      <c r="P94" s="0" t="s">
        <v>46</v>
      </c>
      <c r="Q94" s="0" t="n">
        <v>0.0014</v>
      </c>
      <c r="R94" s="0" t="n">
        <v>0.0004</v>
      </c>
      <c r="S94" s="0" t="n">
        <v>0.0003</v>
      </c>
      <c r="T94" s="0" t="n">
        <v>-1</v>
      </c>
      <c r="U94" s="0" t="n">
        <v>0.0004</v>
      </c>
      <c r="V94" s="0" t="s">
        <v>46</v>
      </c>
      <c r="W94" s="0" t="s">
        <v>46</v>
      </c>
      <c r="X94" s="0" t="s">
        <v>49</v>
      </c>
      <c r="Y94" s="0" t="s">
        <v>64</v>
      </c>
      <c r="Z94" s="0" t="s">
        <v>46</v>
      </c>
      <c r="AA94" s="0" t="s">
        <v>46</v>
      </c>
      <c r="AB94" s="0" t="s">
        <v>46</v>
      </c>
      <c r="AC94" s="0" t="s">
        <v>52</v>
      </c>
      <c r="AD94" s="0" t="s">
        <v>53</v>
      </c>
      <c r="AE94" s="0" t="s">
        <v>767</v>
      </c>
      <c r="AF94" s="0" t="s">
        <v>768</v>
      </c>
      <c r="AG94" s="0" t="s">
        <v>769</v>
      </c>
      <c r="AH94" s="0" t="s">
        <v>46</v>
      </c>
      <c r="AI94" s="0" t="s">
        <v>46</v>
      </c>
      <c r="AJ94" s="0" t="s">
        <v>46</v>
      </c>
      <c r="AK94" s="0" t="s">
        <v>46</v>
      </c>
      <c r="AL94" s="0" t="s">
        <v>46</v>
      </c>
    </row>
    <row r="95" customFormat="false" ht="15" hidden="false" customHeight="false" outlineLevel="0" collapsed="false">
      <c r="B95" s="0" t="str">
        <f aca="false">HYPERLINK("https://genome.ucsc.edu/cgi-bin/hgTracks?db=hg19&amp;position=chr10%3A31650028%2D31650028", "chr10:31650028")</f>
        <v>chr10:31650028</v>
      </c>
      <c r="C95" s="0" t="s">
        <v>311</v>
      </c>
      <c r="D95" s="0" t="n">
        <v>31650028</v>
      </c>
      <c r="E95" s="0" t="n">
        <v>31650028</v>
      </c>
      <c r="F95" s="0" t="s">
        <v>40</v>
      </c>
      <c r="G95" s="0" t="s">
        <v>72</v>
      </c>
      <c r="H95" s="0" t="s">
        <v>770</v>
      </c>
      <c r="I95" s="0" t="s">
        <v>771</v>
      </c>
      <c r="J95" s="0" t="s">
        <v>772</v>
      </c>
      <c r="K95" s="0" t="s">
        <v>46</v>
      </c>
      <c r="L95" s="0" t="str">
        <f aca="false">HYPERLINK("https://www.ncbi.nlm.nih.gov/snp/rs61846169", "rs61846169")</f>
        <v>rs61846169</v>
      </c>
      <c r="M95" s="0" t="str">
        <f aca="false">HYPERLINK("https://www.genecards.org/Search/Keyword?queryString=%5Baliases%5D(%20ZEB1%20)&amp;keywords=ZEB1", "ZEB1")</f>
        <v>ZEB1</v>
      </c>
      <c r="N95" s="0" t="s">
        <v>609</v>
      </c>
      <c r="O95" s="0" t="s">
        <v>46</v>
      </c>
      <c r="P95" s="0" t="s">
        <v>46</v>
      </c>
      <c r="Q95" s="0" t="n">
        <v>0.017</v>
      </c>
      <c r="R95" s="0" t="n">
        <v>0.0014</v>
      </c>
      <c r="S95" s="0" t="n">
        <v>0.0012</v>
      </c>
      <c r="T95" s="0" t="n">
        <v>-1</v>
      </c>
      <c r="U95" s="0" t="n">
        <v>0.0016</v>
      </c>
      <c r="V95" s="0" t="s">
        <v>46</v>
      </c>
      <c r="W95" s="0" t="s">
        <v>46</v>
      </c>
      <c r="X95" s="0" t="s">
        <v>46</v>
      </c>
      <c r="Y95" s="0" t="s">
        <v>46</v>
      </c>
      <c r="Z95" s="0" t="s">
        <v>46</v>
      </c>
      <c r="AA95" s="0" t="s">
        <v>46</v>
      </c>
      <c r="AB95" s="0" t="s">
        <v>46</v>
      </c>
      <c r="AC95" s="0" t="s">
        <v>52</v>
      </c>
      <c r="AD95" s="0" t="s">
        <v>94</v>
      </c>
      <c r="AE95" s="0" t="s">
        <v>773</v>
      </c>
      <c r="AF95" s="0" t="s">
        <v>774</v>
      </c>
      <c r="AG95" s="0" t="s">
        <v>775</v>
      </c>
      <c r="AH95" s="0" t="s">
        <v>776</v>
      </c>
      <c r="AI95" s="0" t="s">
        <v>46</v>
      </c>
      <c r="AJ95" s="0" t="s">
        <v>46</v>
      </c>
      <c r="AK95" s="0" t="s">
        <v>46</v>
      </c>
      <c r="AL95" s="0" t="s">
        <v>46</v>
      </c>
    </row>
    <row r="96" customFormat="false" ht="15" hidden="false" customHeight="false" outlineLevel="0" collapsed="false">
      <c r="B96" s="0" t="str">
        <f aca="false">HYPERLINK("https://genome.ucsc.edu/cgi-bin/hgTracks?db=hg19&amp;position=chr10%3A31650036%2D31650036", "chr10:31650036")</f>
        <v>chr10:31650036</v>
      </c>
      <c r="C96" s="0" t="s">
        <v>311</v>
      </c>
      <c r="D96" s="0" t="n">
        <v>31650036</v>
      </c>
      <c r="E96" s="0" t="n">
        <v>31650036</v>
      </c>
      <c r="F96" s="0" t="s">
        <v>39</v>
      </c>
      <c r="G96" s="0" t="s">
        <v>40</v>
      </c>
      <c r="H96" s="0" t="s">
        <v>770</v>
      </c>
      <c r="I96" s="0" t="s">
        <v>771</v>
      </c>
      <c r="J96" s="0" t="s">
        <v>772</v>
      </c>
      <c r="K96" s="0" t="s">
        <v>46</v>
      </c>
      <c r="L96" s="0" t="str">
        <f aca="false">HYPERLINK("https://www.ncbi.nlm.nih.gov/snp/rs61846170", "rs61846170")</f>
        <v>rs61846170</v>
      </c>
      <c r="M96" s="0" t="str">
        <f aca="false">HYPERLINK("https://www.genecards.org/Search/Keyword?queryString=%5Baliases%5D(%20ZEB1%20)&amp;keywords=ZEB1", "ZEB1")</f>
        <v>ZEB1</v>
      </c>
      <c r="N96" s="0" t="s">
        <v>609</v>
      </c>
      <c r="O96" s="0" t="s">
        <v>46</v>
      </c>
      <c r="P96" s="0" t="s">
        <v>46</v>
      </c>
      <c r="Q96" s="0" t="n">
        <v>0.0168</v>
      </c>
      <c r="R96" s="0" t="n">
        <v>0.0014</v>
      </c>
      <c r="S96" s="0" t="n">
        <v>0.002</v>
      </c>
      <c r="T96" s="0" t="n">
        <v>-1</v>
      </c>
      <c r="U96" s="0" t="n">
        <v>0.005</v>
      </c>
      <c r="V96" s="0" t="s">
        <v>46</v>
      </c>
      <c r="W96" s="0" t="s">
        <v>46</v>
      </c>
      <c r="X96" s="0" t="s">
        <v>46</v>
      </c>
      <c r="Y96" s="0" t="s">
        <v>46</v>
      </c>
      <c r="Z96" s="0" t="s">
        <v>46</v>
      </c>
      <c r="AA96" s="0" t="s">
        <v>46</v>
      </c>
      <c r="AB96" s="0" t="s">
        <v>46</v>
      </c>
      <c r="AC96" s="0" t="s">
        <v>52</v>
      </c>
      <c r="AD96" s="0" t="s">
        <v>94</v>
      </c>
      <c r="AE96" s="0" t="s">
        <v>773</v>
      </c>
      <c r="AF96" s="0" t="s">
        <v>774</v>
      </c>
      <c r="AG96" s="0" t="s">
        <v>775</v>
      </c>
      <c r="AH96" s="0" t="s">
        <v>776</v>
      </c>
      <c r="AI96" s="0" t="s">
        <v>46</v>
      </c>
      <c r="AJ96" s="0" t="s">
        <v>46</v>
      </c>
      <c r="AK96" s="0" t="s">
        <v>46</v>
      </c>
      <c r="AL96" s="0" t="s">
        <v>46</v>
      </c>
    </row>
    <row r="97" customFormat="false" ht="15" hidden="false" customHeight="false" outlineLevel="0" collapsed="false">
      <c r="B97" s="0" t="str">
        <f aca="false">HYPERLINK("https://genome.ucsc.edu/cgi-bin/hgTracks?db=hg19&amp;position=chr10%3A70946100%2D70946100", "chr10:70946100")</f>
        <v>chr10:70946100</v>
      </c>
      <c r="C97" s="0" t="s">
        <v>311</v>
      </c>
      <c r="D97" s="0" t="n">
        <v>70946100</v>
      </c>
      <c r="E97" s="0" t="n">
        <v>70946100</v>
      </c>
      <c r="F97" s="0" t="s">
        <v>72</v>
      </c>
      <c r="G97" s="0" t="s">
        <v>58</v>
      </c>
      <c r="H97" s="0" t="s">
        <v>777</v>
      </c>
      <c r="I97" s="0" t="s">
        <v>648</v>
      </c>
      <c r="J97" s="0" t="s">
        <v>778</v>
      </c>
      <c r="K97" s="0" t="s">
        <v>46</v>
      </c>
      <c r="L97" s="0" t="str">
        <f aca="false">HYPERLINK("https://www.ncbi.nlm.nih.gov/snp/rs202214377", "rs202214377")</f>
        <v>rs202214377</v>
      </c>
      <c r="M97" s="0" t="str">
        <f aca="false">HYPERLINK("https://www.genecards.org/Search/Keyword?queryString=%5Baliases%5D(%20SUPV3L1%20)&amp;keywords=SUPV3L1", "SUPV3L1")</f>
        <v>SUPV3L1</v>
      </c>
      <c r="N97" s="0" t="s">
        <v>63</v>
      </c>
      <c r="O97" s="0" t="s">
        <v>46</v>
      </c>
      <c r="P97" s="0" t="s">
        <v>46</v>
      </c>
      <c r="Q97" s="0" t="n">
        <v>0.0074151</v>
      </c>
      <c r="R97" s="0" t="n">
        <v>0.0056</v>
      </c>
      <c r="S97" s="0" t="n">
        <v>0.0055</v>
      </c>
      <c r="T97" s="0" t="n">
        <v>-1</v>
      </c>
      <c r="U97" s="0" t="n">
        <v>0.0045</v>
      </c>
      <c r="V97" s="0" t="s">
        <v>46</v>
      </c>
      <c r="W97" s="0" t="s">
        <v>46</v>
      </c>
      <c r="X97" s="0" t="s">
        <v>49</v>
      </c>
      <c r="Y97" s="0" t="s">
        <v>64</v>
      </c>
      <c r="Z97" s="0" t="s">
        <v>46</v>
      </c>
      <c r="AA97" s="0" t="s">
        <v>46</v>
      </c>
      <c r="AB97" s="0" t="s">
        <v>46</v>
      </c>
      <c r="AC97" s="0" t="s">
        <v>52</v>
      </c>
      <c r="AD97" s="0" t="s">
        <v>53</v>
      </c>
      <c r="AE97" s="0" t="s">
        <v>779</v>
      </c>
      <c r="AF97" s="0" t="s">
        <v>780</v>
      </c>
      <c r="AG97" s="0" t="s">
        <v>781</v>
      </c>
      <c r="AH97" s="0" t="s">
        <v>46</v>
      </c>
      <c r="AI97" s="0" t="s">
        <v>46</v>
      </c>
      <c r="AJ97" s="0" t="s">
        <v>46</v>
      </c>
      <c r="AK97" s="0" t="s">
        <v>46</v>
      </c>
      <c r="AL97" s="0" t="s">
        <v>46</v>
      </c>
    </row>
    <row r="98" customFormat="false" ht="15" hidden="false" customHeight="false" outlineLevel="0" collapsed="false">
      <c r="B98" s="0" t="str">
        <f aca="false">HYPERLINK("https://genome.ucsc.edu/cgi-bin/hgTracks?db=hg19&amp;position=chr10%3A75528507%2D75528507", "chr10:75528507")</f>
        <v>chr10:75528507</v>
      </c>
      <c r="C98" s="0" t="s">
        <v>311</v>
      </c>
      <c r="D98" s="0" t="n">
        <v>75528507</v>
      </c>
      <c r="E98" s="0" t="n">
        <v>75528507</v>
      </c>
      <c r="F98" s="0" t="s">
        <v>72</v>
      </c>
      <c r="G98" s="0" t="s">
        <v>58</v>
      </c>
      <c r="H98" s="0" t="s">
        <v>782</v>
      </c>
      <c r="I98" s="0" t="s">
        <v>783</v>
      </c>
      <c r="J98" s="0" t="s">
        <v>784</v>
      </c>
      <c r="K98" s="0" t="s">
        <v>46</v>
      </c>
      <c r="L98" s="0" t="s">
        <v>46</v>
      </c>
      <c r="M98" s="0" t="str">
        <f aca="false">HYPERLINK("https://www.genecards.org/Search/Keyword?queryString=%5Baliases%5D(%20SEC24C%20)&amp;keywords=SEC24C", "SEC24C")</f>
        <v>SEC24C</v>
      </c>
      <c r="N98" s="0" t="s">
        <v>63</v>
      </c>
      <c r="O98" s="0" t="s">
        <v>46</v>
      </c>
      <c r="P98" s="0" t="s">
        <v>46</v>
      </c>
      <c r="Q98" s="0" t="n">
        <v>-1</v>
      </c>
      <c r="R98" s="0" t="n">
        <v>-1</v>
      </c>
      <c r="S98" s="0" t="n">
        <v>-1</v>
      </c>
      <c r="T98" s="0" t="n">
        <v>-1</v>
      </c>
      <c r="U98" s="0" t="n">
        <v>-1</v>
      </c>
      <c r="V98" s="0" t="s">
        <v>46</v>
      </c>
      <c r="W98" s="0" t="s">
        <v>46</v>
      </c>
      <c r="X98" s="0" t="s">
        <v>49</v>
      </c>
      <c r="Y98" s="0" t="s">
        <v>64</v>
      </c>
      <c r="Z98" s="0" t="s">
        <v>46</v>
      </c>
      <c r="AA98" s="0" t="s">
        <v>46</v>
      </c>
      <c r="AB98" s="0" t="s">
        <v>46</v>
      </c>
      <c r="AC98" s="0" t="s">
        <v>52</v>
      </c>
      <c r="AD98" s="0" t="s">
        <v>53</v>
      </c>
      <c r="AE98" s="0" t="s">
        <v>785</v>
      </c>
      <c r="AF98" s="0" t="s">
        <v>786</v>
      </c>
      <c r="AG98" s="0" t="s">
        <v>787</v>
      </c>
      <c r="AH98" s="0" t="s">
        <v>46</v>
      </c>
      <c r="AI98" s="0" t="s">
        <v>46</v>
      </c>
      <c r="AJ98" s="0" t="s">
        <v>46</v>
      </c>
      <c r="AK98" s="0" t="s">
        <v>46</v>
      </c>
      <c r="AL98" s="0" t="s">
        <v>46</v>
      </c>
    </row>
    <row r="99" customFormat="false" ht="15" hidden="false" customHeight="false" outlineLevel="0" collapsed="false">
      <c r="B99" s="0" t="str">
        <f aca="false">HYPERLINK("https://genome.ucsc.edu/cgi-bin/hgTracks?db=hg19&amp;position=chr10%3A75675219%2D75675219", "chr10:75675219")</f>
        <v>chr10:75675219</v>
      </c>
      <c r="C99" s="0" t="s">
        <v>311</v>
      </c>
      <c r="D99" s="0" t="n">
        <v>75675219</v>
      </c>
      <c r="E99" s="0" t="n">
        <v>75675219</v>
      </c>
      <c r="F99" s="0" t="s">
        <v>39</v>
      </c>
      <c r="G99" s="0" t="s">
        <v>40</v>
      </c>
      <c r="H99" s="0" t="s">
        <v>788</v>
      </c>
      <c r="I99" s="0" t="s">
        <v>789</v>
      </c>
      <c r="J99" s="0" t="s">
        <v>790</v>
      </c>
      <c r="K99" s="0" t="s">
        <v>46</v>
      </c>
      <c r="L99" s="0" t="str">
        <f aca="false">HYPERLINK("https://www.ncbi.nlm.nih.gov/snp/rs2227583", "rs2227583")</f>
        <v>rs2227583</v>
      </c>
      <c r="M99" s="0" t="str">
        <f aca="false">HYPERLINK("https://www.genecards.org/Search/Keyword?queryString=%5Baliases%5D(%20C10orf55%20)%20OR%20%5Baliases%5D(%20PLAU%20)&amp;keywords=C10orf55,PLAU", "C10orf55;PLAU")</f>
        <v>C10orf55;PLAU</v>
      </c>
      <c r="N99" s="0" t="s">
        <v>366</v>
      </c>
      <c r="O99" s="0" t="s">
        <v>46</v>
      </c>
      <c r="P99" s="0" t="s">
        <v>46</v>
      </c>
      <c r="Q99" s="0" t="n">
        <v>0.0184</v>
      </c>
      <c r="R99" s="0" t="n">
        <v>0.0156</v>
      </c>
      <c r="S99" s="0" t="n">
        <v>0.0146</v>
      </c>
      <c r="T99" s="0" t="n">
        <v>-1</v>
      </c>
      <c r="U99" s="0" t="n">
        <v>0.0207</v>
      </c>
      <c r="V99" s="0" t="s">
        <v>46</v>
      </c>
      <c r="W99" s="0" t="s">
        <v>46</v>
      </c>
      <c r="X99" s="0" t="s">
        <v>340</v>
      </c>
      <c r="Y99" s="0" t="s">
        <v>64</v>
      </c>
      <c r="Z99" s="0" t="s">
        <v>46</v>
      </c>
      <c r="AA99" s="0" t="s">
        <v>46</v>
      </c>
      <c r="AB99" s="0" t="s">
        <v>46</v>
      </c>
      <c r="AC99" s="0" t="s">
        <v>52</v>
      </c>
      <c r="AD99" s="0" t="s">
        <v>182</v>
      </c>
      <c r="AE99" s="0" t="s">
        <v>791</v>
      </c>
      <c r="AF99" s="0" t="s">
        <v>792</v>
      </c>
      <c r="AG99" s="0" t="s">
        <v>793</v>
      </c>
      <c r="AH99" s="0" t="s">
        <v>794</v>
      </c>
      <c r="AI99" s="0" t="s">
        <v>46</v>
      </c>
      <c r="AJ99" s="0" t="s">
        <v>46</v>
      </c>
      <c r="AK99" s="0" t="s">
        <v>46</v>
      </c>
      <c r="AL99" s="0" t="s">
        <v>46</v>
      </c>
    </row>
    <row r="100" customFormat="false" ht="15" hidden="false" customHeight="false" outlineLevel="0" collapsed="false">
      <c r="B100" s="0" t="str">
        <f aca="false">HYPERLINK("https://genome.ucsc.edu/cgi-bin/hgTracks?db=hg19&amp;position=chr10%3A93008092%2D93008092", "chr10:93008092")</f>
        <v>chr10:93008092</v>
      </c>
      <c r="C100" s="0" t="s">
        <v>311</v>
      </c>
      <c r="D100" s="0" t="n">
        <v>93008092</v>
      </c>
      <c r="E100" s="0" t="n">
        <v>93008092</v>
      </c>
      <c r="F100" s="0" t="s">
        <v>58</v>
      </c>
      <c r="G100" s="0" t="s">
        <v>72</v>
      </c>
      <c r="H100" s="0" t="s">
        <v>795</v>
      </c>
      <c r="I100" s="0" t="s">
        <v>796</v>
      </c>
      <c r="J100" s="0" t="s">
        <v>797</v>
      </c>
      <c r="K100" s="0" t="s">
        <v>46</v>
      </c>
      <c r="L100" s="0" t="str">
        <f aca="false">HYPERLINK("https://www.ncbi.nlm.nih.gov/snp/rs769369944", "rs769369944")</f>
        <v>rs769369944</v>
      </c>
      <c r="M100" s="0" t="str">
        <f aca="false">HYPERLINK("https://www.genecards.org/Search/Keyword?queryString=%5Baliases%5D(%20PCGF5%20)&amp;keywords=PCGF5", "PCGF5")</f>
        <v>PCGF5</v>
      </c>
      <c r="N100" s="0" t="s">
        <v>63</v>
      </c>
      <c r="O100" s="0" t="s">
        <v>46</v>
      </c>
      <c r="P100" s="0" t="s">
        <v>46</v>
      </c>
      <c r="Q100" s="0" t="n">
        <v>0.000821</v>
      </c>
      <c r="R100" s="0" t="n">
        <v>0.0001</v>
      </c>
      <c r="S100" s="0" t="n">
        <v>-1</v>
      </c>
      <c r="T100" s="0" t="n">
        <v>-1</v>
      </c>
      <c r="U100" s="0" t="n">
        <v>-1</v>
      </c>
      <c r="V100" s="0" t="s">
        <v>46</v>
      </c>
      <c r="W100" s="0" t="s">
        <v>46</v>
      </c>
      <c r="X100" s="0" t="s">
        <v>385</v>
      </c>
      <c r="Y100" s="0" t="s">
        <v>64</v>
      </c>
      <c r="Z100" s="0" t="s">
        <v>46</v>
      </c>
      <c r="AA100" s="0" t="s">
        <v>46</v>
      </c>
      <c r="AB100" s="0" t="s">
        <v>46</v>
      </c>
      <c r="AC100" s="0" t="s">
        <v>52</v>
      </c>
      <c r="AD100" s="0" t="s">
        <v>53</v>
      </c>
      <c r="AE100" s="0" t="s">
        <v>798</v>
      </c>
      <c r="AF100" s="0" t="s">
        <v>799</v>
      </c>
      <c r="AG100" s="0" t="s">
        <v>800</v>
      </c>
      <c r="AH100" s="0" t="s">
        <v>46</v>
      </c>
      <c r="AI100" s="0" t="s">
        <v>46</v>
      </c>
      <c r="AJ100" s="0" t="s">
        <v>46</v>
      </c>
      <c r="AK100" s="0" t="s">
        <v>46</v>
      </c>
      <c r="AL100" s="0" t="s">
        <v>46</v>
      </c>
    </row>
    <row r="101" customFormat="false" ht="15" hidden="false" customHeight="false" outlineLevel="0" collapsed="false">
      <c r="B101" s="0" t="str">
        <f aca="false">HYPERLINK("https://genome.ucsc.edu/cgi-bin/hgTracks?db=hg19&amp;position=chr10%3A95107324%2D95107324", "chr10:95107324")</f>
        <v>chr10:95107324</v>
      </c>
      <c r="C101" s="0" t="s">
        <v>311</v>
      </c>
      <c r="D101" s="0" t="n">
        <v>95107324</v>
      </c>
      <c r="E101" s="0" t="n">
        <v>95107324</v>
      </c>
      <c r="F101" s="0" t="s">
        <v>72</v>
      </c>
      <c r="G101" s="0" t="s">
        <v>39</v>
      </c>
      <c r="H101" s="0" t="s">
        <v>801</v>
      </c>
      <c r="I101" s="0" t="s">
        <v>374</v>
      </c>
      <c r="J101" s="0" t="s">
        <v>802</v>
      </c>
      <c r="K101" s="0" t="s">
        <v>46</v>
      </c>
      <c r="L101" s="0" t="str">
        <f aca="false">HYPERLINK("https://www.ncbi.nlm.nih.gov/snp/rs7092152", "rs7092152")</f>
        <v>rs7092152</v>
      </c>
      <c r="M101" s="0" t="str">
        <f aca="false">HYPERLINK("https://www.genecards.org/Search/Keyword?queryString=%5Baliases%5D(%20MYOF%20)&amp;keywords=MYOF", "MYOF")</f>
        <v>MYOF</v>
      </c>
      <c r="N101" s="0" t="s">
        <v>63</v>
      </c>
      <c r="O101" s="0" t="s">
        <v>46</v>
      </c>
      <c r="P101" s="0" t="s">
        <v>46</v>
      </c>
      <c r="Q101" s="0" t="n">
        <v>0.0015265</v>
      </c>
      <c r="R101" s="0" t="n">
        <v>-1</v>
      </c>
      <c r="S101" s="0" t="n">
        <v>-1</v>
      </c>
      <c r="T101" s="0" t="n">
        <v>-1</v>
      </c>
      <c r="U101" s="0" t="n">
        <v>-1</v>
      </c>
      <c r="V101" s="0" t="s">
        <v>46</v>
      </c>
      <c r="W101" s="0" t="s">
        <v>46</v>
      </c>
      <c r="X101" s="0" t="s">
        <v>385</v>
      </c>
      <c r="Y101" s="0" t="s">
        <v>64</v>
      </c>
      <c r="Z101" s="0" t="s">
        <v>46</v>
      </c>
      <c r="AA101" s="0" t="s">
        <v>46</v>
      </c>
      <c r="AB101" s="0" t="s">
        <v>46</v>
      </c>
      <c r="AC101" s="0" t="s">
        <v>319</v>
      </c>
      <c r="AD101" s="0" t="s">
        <v>53</v>
      </c>
      <c r="AE101" s="0" t="s">
        <v>803</v>
      </c>
      <c r="AF101" s="0" t="s">
        <v>804</v>
      </c>
      <c r="AG101" s="0" t="s">
        <v>805</v>
      </c>
      <c r="AH101" s="0" t="s">
        <v>46</v>
      </c>
      <c r="AI101" s="0" t="s">
        <v>46</v>
      </c>
      <c r="AJ101" s="0" t="s">
        <v>46</v>
      </c>
      <c r="AK101" s="0" t="s">
        <v>46</v>
      </c>
      <c r="AL101" s="0" t="s">
        <v>46</v>
      </c>
    </row>
    <row r="102" customFormat="false" ht="15" hidden="false" customHeight="false" outlineLevel="0" collapsed="false">
      <c r="B102" s="0" t="str">
        <f aca="false">HYPERLINK("https://genome.ucsc.edu/cgi-bin/hgTracks?db=hg19&amp;position=chr10%3A95891884%2D95891884", "chr10:95891884")</f>
        <v>chr10:95891884</v>
      </c>
      <c r="C102" s="0" t="s">
        <v>311</v>
      </c>
      <c r="D102" s="0" t="n">
        <v>95891884</v>
      </c>
      <c r="E102" s="0" t="n">
        <v>95891884</v>
      </c>
      <c r="F102" s="0" t="s">
        <v>39</v>
      </c>
      <c r="G102" s="0" t="s">
        <v>40</v>
      </c>
      <c r="H102" s="0" t="s">
        <v>806</v>
      </c>
      <c r="I102" s="0" t="s">
        <v>807</v>
      </c>
      <c r="J102" s="0" t="s">
        <v>808</v>
      </c>
      <c r="K102" s="0" t="s">
        <v>46</v>
      </c>
      <c r="L102" s="0" t="str">
        <f aca="false">HYPERLINK("https://www.ncbi.nlm.nih.gov/snp/rs140613465", "rs140613465")</f>
        <v>rs140613465</v>
      </c>
      <c r="M102" s="0" t="str">
        <f aca="false">HYPERLINK("https://www.genecards.org/Search/Keyword?queryString=%5Baliases%5D(%20PLCE1%20)&amp;keywords=PLCE1", "PLCE1")</f>
        <v>PLCE1</v>
      </c>
      <c r="N102" s="0" t="s">
        <v>63</v>
      </c>
      <c r="O102" s="0" t="s">
        <v>46</v>
      </c>
      <c r="P102" s="0" t="s">
        <v>46</v>
      </c>
      <c r="Q102" s="0" t="n">
        <v>0.0279</v>
      </c>
      <c r="R102" s="0" t="n">
        <v>0.0262</v>
      </c>
      <c r="S102" s="0" t="n">
        <v>0.0245</v>
      </c>
      <c r="T102" s="0" t="n">
        <v>-1</v>
      </c>
      <c r="U102" s="0" t="n">
        <v>0.0319</v>
      </c>
      <c r="V102" s="0" t="s">
        <v>46</v>
      </c>
      <c r="W102" s="0" t="s">
        <v>46</v>
      </c>
      <c r="X102" s="0" t="s">
        <v>385</v>
      </c>
      <c r="Y102" s="0" t="s">
        <v>64</v>
      </c>
      <c r="Z102" s="0" t="s">
        <v>46</v>
      </c>
      <c r="AA102" s="0" t="s">
        <v>46</v>
      </c>
      <c r="AB102" s="0" t="s">
        <v>46</v>
      </c>
      <c r="AC102" s="0" t="s">
        <v>52</v>
      </c>
      <c r="AD102" s="0" t="s">
        <v>53</v>
      </c>
      <c r="AE102" s="0" t="s">
        <v>809</v>
      </c>
      <c r="AF102" s="0" t="s">
        <v>810</v>
      </c>
      <c r="AG102" s="0" t="s">
        <v>811</v>
      </c>
      <c r="AH102" s="0" t="s">
        <v>812</v>
      </c>
      <c r="AI102" s="0" t="s">
        <v>46</v>
      </c>
      <c r="AJ102" s="0" t="s">
        <v>46</v>
      </c>
      <c r="AK102" s="0" t="s">
        <v>46</v>
      </c>
      <c r="AL102" s="0" t="s">
        <v>46</v>
      </c>
    </row>
    <row r="103" customFormat="false" ht="15" hidden="false" customHeight="false" outlineLevel="0" collapsed="false">
      <c r="B103" s="0" t="str">
        <f aca="false">HYPERLINK("https://genome.ucsc.edu/cgi-bin/hgTracks?db=hg19&amp;position=chr10%3A96256785%2D96256785", "chr10:96256785")</f>
        <v>chr10:96256785</v>
      </c>
      <c r="C103" s="0" t="s">
        <v>311</v>
      </c>
      <c r="D103" s="0" t="n">
        <v>96256785</v>
      </c>
      <c r="E103" s="0" t="n">
        <v>96256785</v>
      </c>
      <c r="F103" s="0" t="s">
        <v>58</v>
      </c>
      <c r="G103" s="0" t="s">
        <v>72</v>
      </c>
      <c r="H103" s="0" t="s">
        <v>813</v>
      </c>
      <c r="I103" s="0" t="s">
        <v>594</v>
      </c>
      <c r="J103" s="0" t="s">
        <v>814</v>
      </c>
      <c r="K103" s="0" t="s">
        <v>46</v>
      </c>
      <c r="L103" s="0" t="str">
        <f aca="false">HYPERLINK("https://www.ncbi.nlm.nih.gov/snp/rs535661307", "rs535661307")</f>
        <v>rs535661307</v>
      </c>
      <c r="M103" s="0" t="str">
        <f aca="false">HYPERLINK("https://www.genecards.org/Search/Keyword?queryString=%5Baliases%5D(%20TBC1D12%20)&amp;keywords=TBC1D12", "TBC1D12")</f>
        <v>TBC1D12</v>
      </c>
      <c r="N103" s="0" t="s">
        <v>63</v>
      </c>
      <c r="O103" s="0" t="s">
        <v>46</v>
      </c>
      <c r="P103" s="0" t="s">
        <v>46</v>
      </c>
      <c r="Q103" s="0" t="n">
        <v>0.001</v>
      </c>
      <c r="R103" s="0" t="n">
        <v>9.032E-005</v>
      </c>
      <c r="S103" s="0" t="n">
        <v>0.0003</v>
      </c>
      <c r="T103" s="0" t="n">
        <v>-1</v>
      </c>
      <c r="U103" s="0" t="n">
        <v>0.0002</v>
      </c>
      <c r="V103" s="0" t="s">
        <v>46</v>
      </c>
      <c r="W103" s="0" t="s">
        <v>46</v>
      </c>
      <c r="X103" s="0" t="s">
        <v>385</v>
      </c>
      <c r="Y103" s="0" t="s">
        <v>64</v>
      </c>
      <c r="Z103" s="0" t="s">
        <v>46</v>
      </c>
      <c r="AA103" s="0" t="s">
        <v>46</v>
      </c>
      <c r="AB103" s="0" t="s">
        <v>46</v>
      </c>
      <c r="AC103" s="0" t="s">
        <v>52</v>
      </c>
      <c r="AD103" s="0" t="s">
        <v>53</v>
      </c>
      <c r="AE103" s="0" t="s">
        <v>815</v>
      </c>
      <c r="AF103" s="0" t="s">
        <v>816</v>
      </c>
      <c r="AG103" s="0" t="s">
        <v>817</v>
      </c>
      <c r="AH103" s="0" t="s">
        <v>46</v>
      </c>
      <c r="AI103" s="0" t="s">
        <v>46</v>
      </c>
      <c r="AJ103" s="0" t="s">
        <v>46</v>
      </c>
      <c r="AK103" s="0" t="s">
        <v>46</v>
      </c>
      <c r="AL103" s="0" t="s">
        <v>46</v>
      </c>
    </row>
    <row r="104" customFormat="false" ht="15" hidden="false" customHeight="false" outlineLevel="0" collapsed="false">
      <c r="B104" s="0" t="str">
        <f aca="false">HYPERLINK("https://genome.ucsc.edu/cgi-bin/hgTracks?db=hg19&amp;position=chr10%3A99230785%2D99230785", "chr10:99230785")</f>
        <v>chr10:99230785</v>
      </c>
      <c r="C104" s="0" t="s">
        <v>311</v>
      </c>
      <c r="D104" s="0" t="n">
        <v>99230785</v>
      </c>
      <c r="E104" s="0" t="n">
        <v>99230785</v>
      </c>
      <c r="F104" s="0" t="s">
        <v>39</v>
      </c>
      <c r="G104" s="0" t="s">
        <v>40</v>
      </c>
      <c r="H104" s="0" t="s">
        <v>818</v>
      </c>
      <c r="I104" s="0" t="s">
        <v>819</v>
      </c>
      <c r="J104" s="0" t="s">
        <v>820</v>
      </c>
      <c r="K104" s="0" t="s">
        <v>46</v>
      </c>
      <c r="L104" s="0" t="str">
        <f aca="false">HYPERLINK("https://www.ncbi.nlm.nih.gov/snp/rs989154233", "rs989154233")</f>
        <v>rs989154233</v>
      </c>
      <c r="M104" s="0" t="str">
        <f aca="false">HYPERLINK("https://www.genecards.org/Search/Keyword?queryString=%5Baliases%5D(%20MMS19%20)&amp;keywords=MMS19", "MMS19")</f>
        <v>MMS19</v>
      </c>
      <c r="N104" s="0" t="s">
        <v>63</v>
      </c>
      <c r="O104" s="0" t="s">
        <v>46</v>
      </c>
      <c r="P104" s="0" t="s">
        <v>46</v>
      </c>
      <c r="Q104" s="0" t="n">
        <v>-1</v>
      </c>
      <c r="R104" s="0" t="n">
        <v>-1</v>
      </c>
      <c r="S104" s="0" t="n">
        <v>-1</v>
      </c>
      <c r="T104" s="0" t="n">
        <v>-1</v>
      </c>
      <c r="U104" s="0" t="n">
        <v>-1</v>
      </c>
      <c r="V104" s="0" t="s">
        <v>46</v>
      </c>
      <c r="W104" s="0" t="s">
        <v>46</v>
      </c>
      <c r="X104" s="0" t="s">
        <v>385</v>
      </c>
      <c r="Y104" s="0" t="s">
        <v>64</v>
      </c>
      <c r="Z104" s="0" t="s">
        <v>46</v>
      </c>
      <c r="AA104" s="0" t="s">
        <v>46</v>
      </c>
      <c r="AB104" s="0" t="s">
        <v>46</v>
      </c>
      <c r="AC104" s="0" t="s">
        <v>52</v>
      </c>
      <c r="AD104" s="0" t="s">
        <v>53</v>
      </c>
      <c r="AE104" s="0" t="s">
        <v>821</v>
      </c>
      <c r="AF104" s="0" t="s">
        <v>822</v>
      </c>
      <c r="AG104" s="0" t="s">
        <v>823</v>
      </c>
      <c r="AH104" s="0" t="s">
        <v>46</v>
      </c>
      <c r="AI104" s="0" t="s">
        <v>46</v>
      </c>
      <c r="AJ104" s="0" t="s">
        <v>46</v>
      </c>
      <c r="AK104" s="0" t="s">
        <v>46</v>
      </c>
      <c r="AL104" s="0" t="s">
        <v>46</v>
      </c>
    </row>
    <row r="105" customFormat="false" ht="15" hidden="false" customHeight="false" outlineLevel="0" collapsed="false">
      <c r="B105" s="0" t="str">
        <f aca="false">HYPERLINK("https://genome.ucsc.edu/cgi-bin/hgTracks?db=hg19&amp;position=chr10%3A99531570%2D99531570", "chr10:99531570")</f>
        <v>chr10:99531570</v>
      </c>
      <c r="C105" s="0" t="s">
        <v>311</v>
      </c>
      <c r="D105" s="0" t="n">
        <v>99531570</v>
      </c>
      <c r="E105" s="0" t="n">
        <v>99531570</v>
      </c>
      <c r="F105" s="0" t="s">
        <v>312</v>
      </c>
      <c r="G105" s="0" t="s">
        <v>58</v>
      </c>
      <c r="H105" s="0" t="s">
        <v>824</v>
      </c>
      <c r="I105" s="0" t="s">
        <v>825</v>
      </c>
      <c r="J105" s="0" t="s">
        <v>826</v>
      </c>
      <c r="K105" s="0" t="s">
        <v>46</v>
      </c>
      <c r="L105" s="0" t="s">
        <v>46</v>
      </c>
      <c r="M105" s="0" t="str">
        <f aca="false">HYPERLINK("https://www.genecards.org/Search/Keyword?queryString=%5Baliases%5D(%20SFRP5%20)&amp;keywords=SFRP5", "SFRP5")</f>
        <v>SFRP5</v>
      </c>
      <c r="N105" s="0" t="s">
        <v>77</v>
      </c>
      <c r="O105" s="0" t="s">
        <v>357</v>
      </c>
      <c r="P105" s="0" t="s">
        <v>827</v>
      </c>
      <c r="Q105" s="0" t="n">
        <v>0.0135</v>
      </c>
      <c r="R105" s="0" t="n">
        <v>0.0137</v>
      </c>
      <c r="S105" s="0" t="n">
        <v>0.0137</v>
      </c>
      <c r="T105" s="0" t="n">
        <v>-1</v>
      </c>
      <c r="U105" s="0" t="n">
        <v>0.012</v>
      </c>
      <c r="V105" s="0" t="s">
        <v>46</v>
      </c>
      <c r="W105" s="0" t="s">
        <v>46</v>
      </c>
      <c r="X105" s="0" t="s">
        <v>46</v>
      </c>
      <c r="Y105" s="0" t="s">
        <v>46</v>
      </c>
      <c r="Z105" s="0" t="s">
        <v>46</v>
      </c>
      <c r="AA105" s="0" t="s">
        <v>46</v>
      </c>
      <c r="AB105" s="0" t="s">
        <v>46</v>
      </c>
      <c r="AC105" s="0" t="s">
        <v>52</v>
      </c>
      <c r="AD105" s="0" t="s">
        <v>94</v>
      </c>
      <c r="AE105" s="0" t="s">
        <v>828</v>
      </c>
      <c r="AF105" s="0" t="s">
        <v>829</v>
      </c>
      <c r="AG105" s="0" t="s">
        <v>830</v>
      </c>
      <c r="AH105" s="0" t="s">
        <v>46</v>
      </c>
      <c r="AI105" s="0" t="s">
        <v>831</v>
      </c>
      <c r="AJ105" s="0" t="s">
        <v>46</v>
      </c>
      <c r="AK105" s="0" t="s">
        <v>46</v>
      </c>
      <c r="AL105" s="0" t="s">
        <v>46</v>
      </c>
    </row>
    <row r="106" customFormat="false" ht="15" hidden="false" customHeight="false" outlineLevel="0" collapsed="false">
      <c r="B106" s="0" t="str">
        <f aca="false">HYPERLINK("https://genome.ucsc.edu/cgi-bin/hgTracks?db=hg19&amp;position=chr10%3A99531571%2D99531571", "chr10:99531571")</f>
        <v>chr10:99531571</v>
      </c>
      <c r="C106" s="0" t="s">
        <v>311</v>
      </c>
      <c r="D106" s="0" t="n">
        <v>99531571</v>
      </c>
      <c r="E106" s="0" t="n">
        <v>99531571</v>
      </c>
      <c r="F106" s="0" t="s">
        <v>312</v>
      </c>
      <c r="G106" s="0" t="s">
        <v>832</v>
      </c>
      <c r="H106" s="0" t="s">
        <v>833</v>
      </c>
      <c r="I106" s="0" t="s">
        <v>825</v>
      </c>
      <c r="J106" s="0" t="s">
        <v>834</v>
      </c>
      <c r="K106" s="0" t="s">
        <v>46</v>
      </c>
      <c r="L106" s="0" t="s">
        <v>46</v>
      </c>
      <c r="M106" s="0" t="str">
        <f aca="false">HYPERLINK("https://www.genecards.org/Search/Keyword?queryString=%5Baliases%5D(%20SFRP5%20)&amp;keywords=SFRP5", "SFRP5")</f>
        <v>SFRP5</v>
      </c>
      <c r="N106" s="0" t="s">
        <v>77</v>
      </c>
      <c r="O106" s="0" t="s">
        <v>357</v>
      </c>
      <c r="P106" s="0" t="s">
        <v>835</v>
      </c>
      <c r="Q106" s="0" t="n">
        <v>0.0023</v>
      </c>
      <c r="R106" s="0" t="n">
        <v>0.0004</v>
      </c>
      <c r="S106" s="0" t="n">
        <v>0.0004</v>
      </c>
      <c r="T106" s="0" t="n">
        <v>-1</v>
      </c>
      <c r="U106" s="0" t="n">
        <v>0.0006</v>
      </c>
      <c r="V106" s="0" t="s">
        <v>46</v>
      </c>
      <c r="W106" s="0" t="s">
        <v>46</v>
      </c>
      <c r="X106" s="0" t="s">
        <v>46</v>
      </c>
      <c r="Y106" s="0" t="s">
        <v>46</v>
      </c>
      <c r="Z106" s="0" t="s">
        <v>46</v>
      </c>
      <c r="AA106" s="0" t="s">
        <v>46</v>
      </c>
      <c r="AB106" s="0" t="s">
        <v>46</v>
      </c>
      <c r="AC106" s="0" t="s">
        <v>319</v>
      </c>
      <c r="AD106" s="0" t="s">
        <v>94</v>
      </c>
      <c r="AE106" s="0" t="s">
        <v>828</v>
      </c>
      <c r="AF106" s="0" t="s">
        <v>829</v>
      </c>
      <c r="AG106" s="0" t="s">
        <v>830</v>
      </c>
      <c r="AH106" s="0" t="s">
        <v>46</v>
      </c>
      <c r="AI106" s="0" t="s">
        <v>831</v>
      </c>
      <c r="AJ106" s="0" t="s">
        <v>46</v>
      </c>
      <c r="AK106" s="0" t="s">
        <v>46</v>
      </c>
      <c r="AL106" s="0" t="s">
        <v>46</v>
      </c>
    </row>
    <row r="107" customFormat="false" ht="15" hidden="false" customHeight="false" outlineLevel="0" collapsed="false">
      <c r="B107" s="0" t="str">
        <f aca="false">HYPERLINK("https://genome.ucsc.edu/cgi-bin/hgTracks?db=hg19&amp;position=chr10%3A115402680%2D115402680", "chr10:115402680")</f>
        <v>chr10:115402680</v>
      </c>
      <c r="C107" s="0" t="s">
        <v>311</v>
      </c>
      <c r="D107" s="0" t="n">
        <v>115402680</v>
      </c>
      <c r="E107" s="0" t="n">
        <v>115402680</v>
      </c>
      <c r="F107" s="0" t="s">
        <v>58</v>
      </c>
      <c r="G107" s="0" t="s">
        <v>39</v>
      </c>
      <c r="H107" s="0" t="s">
        <v>836</v>
      </c>
      <c r="I107" s="0" t="s">
        <v>215</v>
      </c>
      <c r="J107" s="0" t="s">
        <v>837</v>
      </c>
      <c r="K107" s="0" t="s">
        <v>46</v>
      </c>
      <c r="L107" s="0" t="str">
        <f aca="false">HYPERLINK("https://www.ncbi.nlm.nih.gov/snp/rs79109396", "rs79109396")</f>
        <v>rs79109396</v>
      </c>
      <c r="M107" s="0" t="str">
        <f aca="false">HYPERLINK("https://www.genecards.org/Search/Keyword?queryString=%5Baliases%5D(%20NRAP%20)&amp;keywords=NRAP", "NRAP")</f>
        <v>NRAP</v>
      </c>
      <c r="N107" s="0" t="s">
        <v>63</v>
      </c>
      <c r="O107" s="0" t="s">
        <v>46</v>
      </c>
      <c r="P107" s="0" t="s">
        <v>46</v>
      </c>
      <c r="Q107" s="0" t="n">
        <v>0.0245224</v>
      </c>
      <c r="R107" s="0" t="n">
        <v>0.0236</v>
      </c>
      <c r="S107" s="0" t="n">
        <v>0.023</v>
      </c>
      <c r="T107" s="0" t="n">
        <v>-1</v>
      </c>
      <c r="U107" s="0" t="n">
        <v>0.0256</v>
      </c>
      <c r="V107" s="0" t="s">
        <v>46</v>
      </c>
      <c r="W107" s="0" t="s">
        <v>46</v>
      </c>
      <c r="X107" s="0" t="s">
        <v>385</v>
      </c>
      <c r="Y107" s="0" t="s">
        <v>64</v>
      </c>
      <c r="Z107" s="0" t="s">
        <v>46</v>
      </c>
      <c r="AA107" s="0" t="s">
        <v>46</v>
      </c>
      <c r="AB107" s="0" t="s">
        <v>46</v>
      </c>
      <c r="AC107" s="0" t="s">
        <v>52</v>
      </c>
      <c r="AD107" s="0" t="s">
        <v>53</v>
      </c>
      <c r="AE107" s="0" t="s">
        <v>838</v>
      </c>
      <c r="AF107" s="0" t="s">
        <v>839</v>
      </c>
      <c r="AG107" s="0" t="s">
        <v>840</v>
      </c>
      <c r="AH107" s="0" t="s">
        <v>46</v>
      </c>
      <c r="AI107" s="0" t="s">
        <v>46</v>
      </c>
      <c r="AJ107" s="0" t="s">
        <v>46</v>
      </c>
      <c r="AK107" s="0" t="s">
        <v>46</v>
      </c>
      <c r="AL107" s="0" t="s">
        <v>46</v>
      </c>
    </row>
    <row r="108" customFormat="false" ht="15" hidden="false" customHeight="false" outlineLevel="0" collapsed="false">
      <c r="B108" s="0" t="str">
        <f aca="false">HYPERLINK("https://genome.ucsc.edu/cgi-bin/hgTracks?db=hg19&amp;position=chr10%3A116975702%2D116975702", "chr10:116975702")</f>
        <v>chr10:116975702</v>
      </c>
      <c r="C108" s="0" t="s">
        <v>311</v>
      </c>
      <c r="D108" s="0" t="n">
        <v>116975702</v>
      </c>
      <c r="E108" s="0" t="n">
        <v>116975702</v>
      </c>
      <c r="F108" s="0" t="s">
        <v>72</v>
      </c>
      <c r="G108" s="0" t="s">
        <v>58</v>
      </c>
      <c r="H108" s="0" t="s">
        <v>482</v>
      </c>
      <c r="I108" s="0" t="s">
        <v>732</v>
      </c>
      <c r="J108" s="0" t="s">
        <v>841</v>
      </c>
      <c r="K108" s="0" t="s">
        <v>46</v>
      </c>
      <c r="L108" s="0" t="str">
        <f aca="false">HYPERLINK("https://www.ncbi.nlm.nih.gov/snp/rs185357091", "rs185357091")</f>
        <v>rs185357091</v>
      </c>
      <c r="M108" s="0" t="str">
        <f aca="false">HYPERLINK("https://www.genecards.org/Search/Keyword?queryString=%5Baliases%5D(%20ATRNL1%20)&amp;keywords=ATRNL1", "ATRNL1")</f>
        <v>ATRNL1</v>
      </c>
      <c r="N108" s="0" t="s">
        <v>63</v>
      </c>
      <c r="O108" s="0" t="s">
        <v>46</v>
      </c>
      <c r="P108" s="0" t="s">
        <v>46</v>
      </c>
      <c r="Q108" s="0" t="n">
        <v>0.0193</v>
      </c>
      <c r="R108" s="0" t="n">
        <v>0.0092</v>
      </c>
      <c r="S108" s="0" t="n">
        <v>0.0109</v>
      </c>
      <c r="T108" s="0" t="n">
        <v>-1</v>
      </c>
      <c r="U108" s="0" t="n">
        <v>0.0081</v>
      </c>
      <c r="V108" s="0" t="s">
        <v>46</v>
      </c>
      <c r="W108" s="0" t="s">
        <v>46</v>
      </c>
      <c r="X108" s="0" t="s">
        <v>49</v>
      </c>
      <c r="Y108" s="0" t="s">
        <v>64</v>
      </c>
      <c r="Z108" s="0" t="s">
        <v>46</v>
      </c>
      <c r="AA108" s="0" t="s">
        <v>46</v>
      </c>
      <c r="AB108" s="0" t="s">
        <v>46</v>
      </c>
      <c r="AC108" s="0" t="s">
        <v>52</v>
      </c>
      <c r="AD108" s="0" t="s">
        <v>53</v>
      </c>
      <c r="AE108" s="0" t="s">
        <v>842</v>
      </c>
      <c r="AF108" s="0" t="s">
        <v>843</v>
      </c>
      <c r="AG108" s="0" t="s">
        <v>844</v>
      </c>
      <c r="AH108" s="0" t="s">
        <v>46</v>
      </c>
      <c r="AI108" s="0" t="s">
        <v>46</v>
      </c>
      <c r="AJ108" s="0" t="s">
        <v>46</v>
      </c>
      <c r="AK108" s="0" t="s">
        <v>46</v>
      </c>
      <c r="AL108" s="0" t="s">
        <v>46</v>
      </c>
    </row>
    <row r="109" customFormat="false" ht="15" hidden="false" customHeight="false" outlineLevel="0" collapsed="false">
      <c r="B109" s="0" t="str">
        <f aca="false">HYPERLINK("https://genome.ucsc.edu/cgi-bin/hgTracks?db=hg19&amp;position=chr10%3A118359558%2D118359558", "chr10:118359558")</f>
        <v>chr10:118359558</v>
      </c>
      <c r="C109" s="0" t="s">
        <v>311</v>
      </c>
      <c r="D109" s="0" t="n">
        <v>118359558</v>
      </c>
      <c r="E109" s="0" t="n">
        <v>118359558</v>
      </c>
      <c r="F109" s="0" t="s">
        <v>58</v>
      </c>
      <c r="G109" s="0" t="s">
        <v>312</v>
      </c>
      <c r="H109" s="0" t="s">
        <v>845</v>
      </c>
      <c r="I109" s="0" t="s">
        <v>137</v>
      </c>
      <c r="J109" s="0" t="s">
        <v>846</v>
      </c>
      <c r="K109" s="0" t="s">
        <v>46</v>
      </c>
      <c r="L109" s="0" t="str">
        <f aca="false">HYPERLINK("https://www.ncbi.nlm.nih.gov/snp/rs782651844", "rs782651844")</f>
        <v>rs782651844</v>
      </c>
      <c r="M109" s="0" t="str">
        <f aca="false">HYPERLINK("https://www.genecards.org/Search/Keyword?queryString=%5Baliases%5D(%20PNLIPRP1%20)&amp;keywords=PNLIPRP1", "PNLIPRP1")</f>
        <v>PNLIPRP1</v>
      </c>
      <c r="N109" s="0" t="s">
        <v>45</v>
      </c>
      <c r="O109" s="0" t="s">
        <v>46</v>
      </c>
      <c r="P109" s="0" t="s">
        <v>847</v>
      </c>
      <c r="Q109" s="0" t="n">
        <v>0.0004</v>
      </c>
      <c r="R109" s="0" t="n">
        <v>0.0003</v>
      </c>
      <c r="S109" s="0" t="n">
        <v>0.0004</v>
      </c>
      <c r="T109" s="0" t="n">
        <v>-1</v>
      </c>
      <c r="U109" s="0" t="n">
        <v>0.0005</v>
      </c>
      <c r="V109" s="0" t="s">
        <v>46</v>
      </c>
      <c r="W109" s="0" t="s">
        <v>46</v>
      </c>
      <c r="X109" s="0" t="s">
        <v>46</v>
      </c>
      <c r="Y109" s="0" t="s">
        <v>46</v>
      </c>
      <c r="Z109" s="0" t="s">
        <v>46</v>
      </c>
      <c r="AA109" s="0" t="s">
        <v>46</v>
      </c>
      <c r="AB109" s="0" t="s">
        <v>46</v>
      </c>
      <c r="AC109" s="0" t="s">
        <v>52</v>
      </c>
      <c r="AD109" s="0" t="s">
        <v>53</v>
      </c>
      <c r="AE109" s="0" t="s">
        <v>848</v>
      </c>
      <c r="AF109" s="0" t="s">
        <v>849</v>
      </c>
      <c r="AG109" s="0" t="s">
        <v>850</v>
      </c>
      <c r="AH109" s="0" t="s">
        <v>46</v>
      </c>
      <c r="AI109" s="0" t="s">
        <v>46</v>
      </c>
      <c r="AJ109" s="0" t="s">
        <v>46</v>
      </c>
      <c r="AK109" s="0" t="s">
        <v>46</v>
      </c>
      <c r="AL109" s="0" t="s">
        <v>46</v>
      </c>
    </row>
    <row r="110" customFormat="false" ht="15" hidden="false" customHeight="false" outlineLevel="0" collapsed="false">
      <c r="B110" s="0" t="str">
        <f aca="false">HYPERLINK("https://genome.ucsc.edu/cgi-bin/hgTracks?db=hg19&amp;position=chr10%3A126691628%2D126691628", "chr10:126691628")</f>
        <v>chr10:126691628</v>
      </c>
      <c r="C110" s="0" t="s">
        <v>311</v>
      </c>
      <c r="D110" s="0" t="n">
        <v>126691628</v>
      </c>
      <c r="E110" s="0" t="n">
        <v>126691628</v>
      </c>
      <c r="F110" s="0" t="s">
        <v>58</v>
      </c>
      <c r="G110" s="0" t="s">
        <v>312</v>
      </c>
      <c r="H110" s="0" t="s">
        <v>851</v>
      </c>
      <c r="I110" s="0" t="s">
        <v>852</v>
      </c>
      <c r="J110" s="0" t="s">
        <v>853</v>
      </c>
      <c r="K110" s="0" t="s">
        <v>46</v>
      </c>
      <c r="L110" s="0" t="str">
        <f aca="false">HYPERLINK("https://www.ncbi.nlm.nih.gov/snp/rs796604157", "rs796604157")</f>
        <v>rs796604157</v>
      </c>
      <c r="M110" s="0" t="str">
        <f aca="false">HYPERLINK("https://www.genecards.org/Search/Keyword?queryString=%5Baliases%5D(%20CTBP2%20)&amp;keywords=CTBP2", "CTBP2")</f>
        <v>CTBP2</v>
      </c>
      <c r="N110" s="0" t="s">
        <v>77</v>
      </c>
      <c r="O110" s="0" t="s">
        <v>623</v>
      </c>
      <c r="P110" s="0" t="s">
        <v>854</v>
      </c>
      <c r="Q110" s="0" t="n">
        <v>-1</v>
      </c>
      <c r="R110" s="0" t="n">
        <v>-1</v>
      </c>
      <c r="S110" s="0" t="n">
        <v>-1</v>
      </c>
      <c r="T110" s="0" t="n">
        <v>-1</v>
      </c>
      <c r="U110" s="0" t="n">
        <v>-1</v>
      </c>
      <c r="V110" s="0" t="s">
        <v>46</v>
      </c>
      <c r="W110" s="0" t="s">
        <v>46</v>
      </c>
      <c r="X110" s="0" t="s">
        <v>46</v>
      </c>
      <c r="Y110" s="0" t="s">
        <v>46</v>
      </c>
      <c r="Z110" s="0" t="s">
        <v>46</v>
      </c>
      <c r="AA110" s="0" t="s">
        <v>46</v>
      </c>
      <c r="AB110" s="0" t="s">
        <v>46</v>
      </c>
      <c r="AC110" s="0" t="s">
        <v>52</v>
      </c>
      <c r="AD110" s="0" t="s">
        <v>346</v>
      </c>
      <c r="AE110" s="0" t="s">
        <v>446</v>
      </c>
      <c r="AF110" s="0" t="s">
        <v>447</v>
      </c>
      <c r="AG110" s="0" t="s">
        <v>448</v>
      </c>
      <c r="AH110" s="0" t="s">
        <v>46</v>
      </c>
      <c r="AI110" s="0" t="s">
        <v>46</v>
      </c>
      <c r="AJ110" s="0" t="s">
        <v>46</v>
      </c>
      <c r="AK110" s="0" t="s">
        <v>46</v>
      </c>
      <c r="AL110" s="0" t="s">
        <v>46</v>
      </c>
    </row>
    <row r="111" customFormat="false" ht="15" hidden="false" customHeight="false" outlineLevel="0" collapsed="false">
      <c r="B111" s="0" t="str">
        <f aca="false">HYPERLINK("https://genome.ucsc.edu/cgi-bin/hgTracks?db=hg19&amp;position=chr10%3A126691951%2D126691951", "chr10:126691951")</f>
        <v>chr10:126691951</v>
      </c>
      <c r="C111" s="0" t="s">
        <v>311</v>
      </c>
      <c r="D111" s="0" t="n">
        <v>126691951</v>
      </c>
      <c r="E111" s="0" t="n">
        <v>126691951</v>
      </c>
      <c r="F111" s="0" t="s">
        <v>40</v>
      </c>
      <c r="G111" s="0" t="s">
        <v>312</v>
      </c>
      <c r="H111" s="0" t="s">
        <v>855</v>
      </c>
      <c r="I111" s="0" t="s">
        <v>856</v>
      </c>
      <c r="J111" s="0" t="s">
        <v>857</v>
      </c>
      <c r="K111" s="0" t="s">
        <v>46</v>
      </c>
      <c r="L111" s="0" t="s">
        <v>46</v>
      </c>
      <c r="M111" s="0" t="str">
        <f aca="false">HYPERLINK("https://www.genecards.org/Search/Keyword?queryString=%5Baliases%5D(%20CTBP2%20)&amp;keywords=CTBP2", "CTBP2")</f>
        <v>CTBP2</v>
      </c>
      <c r="N111" s="0" t="s">
        <v>77</v>
      </c>
      <c r="O111" s="0" t="s">
        <v>623</v>
      </c>
      <c r="P111" s="0" t="s">
        <v>858</v>
      </c>
      <c r="Q111" s="0" t="n">
        <v>-1</v>
      </c>
      <c r="R111" s="0" t="n">
        <v>-1</v>
      </c>
      <c r="S111" s="0" t="n">
        <v>-1</v>
      </c>
      <c r="T111" s="0" t="n">
        <v>-1</v>
      </c>
      <c r="U111" s="0" t="n">
        <v>-1</v>
      </c>
      <c r="V111" s="0" t="s">
        <v>46</v>
      </c>
      <c r="W111" s="0" t="s">
        <v>46</v>
      </c>
      <c r="X111" s="0" t="s">
        <v>46</v>
      </c>
      <c r="Y111" s="0" t="s">
        <v>46</v>
      </c>
      <c r="Z111" s="0" t="s">
        <v>46</v>
      </c>
      <c r="AA111" s="0" t="s">
        <v>46</v>
      </c>
      <c r="AB111" s="0" t="s">
        <v>46</v>
      </c>
      <c r="AC111" s="0" t="s">
        <v>52</v>
      </c>
      <c r="AD111" s="0" t="s">
        <v>346</v>
      </c>
      <c r="AE111" s="0" t="s">
        <v>446</v>
      </c>
      <c r="AF111" s="0" t="s">
        <v>447</v>
      </c>
      <c r="AG111" s="0" t="s">
        <v>448</v>
      </c>
      <c r="AH111" s="0" t="s">
        <v>46</v>
      </c>
      <c r="AI111" s="0" t="s">
        <v>46</v>
      </c>
      <c r="AJ111" s="0" t="s">
        <v>46</v>
      </c>
      <c r="AK111" s="0" t="s">
        <v>46</v>
      </c>
      <c r="AL111" s="0" t="s">
        <v>46</v>
      </c>
    </row>
    <row r="112" customFormat="false" ht="15" hidden="false" customHeight="false" outlineLevel="0" collapsed="false">
      <c r="B112" s="0" t="str">
        <f aca="false">HYPERLINK("https://genome.ucsc.edu/cgi-bin/hgTracks?db=hg19&amp;position=chr10%3A126692023%2D126692023", "chr10:126692023")</f>
        <v>chr10:126692023</v>
      </c>
      <c r="C112" s="0" t="s">
        <v>311</v>
      </c>
      <c r="D112" s="0" t="n">
        <v>126692023</v>
      </c>
      <c r="E112" s="0" t="n">
        <v>126692023</v>
      </c>
      <c r="F112" s="0" t="s">
        <v>58</v>
      </c>
      <c r="G112" s="0" t="s">
        <v>312</v>
      </c>
      <c r="H112" s="0" t="s">
        <v>859</v>
      </c>
      <c r="I112" s="0" t="s">
        <v>165</v>
      </c>
      <c r="J112" s="0" t="s">
        <v>860</v>
      </c>
      <c r="K112" s="0" t="s">
        <v>46</v>
      </c>
      <c r="L112" s="0" t="s">
        <v>46</v>
      </c>
      <c r="M112" s="0" t="str">
        <f aca="false">HYPERLINK("https://www.genecards.org/Search/Keyword?queryString=%5Baliases%5D(%20CTBP2%20)&amp;keywords=CTBP2", "CTBP2")</f>
        <v>CTBP2</v>
      </c>
      <c r="N112" s="0" t="s">
        <v>77</v>
      </c>
      <c r="O112" s="0" t="s">
        <v>623</v>
      </c>
      <c r="P112" s="0" t="s">
        <v>861</v>
      </c>
      <c r="Q112" s="0" t="n">
        <v>-1</v>
      </c>
      <c r="R112" s="0" t="n">
        <v>-1</v>
      </c>
      <c r="S112" s="0" t="n">
        <v>-1</v>
      </c>
      <c r="T112" s="0" t="n">
        <v>-1</v>
      </c>
      <c r="U112" s="0" t="n">
        <v>-1</v>
      </c>
      <c r="V112" s="0" t="s">
        <v>46</v>
      </c>
      <c r="W112" s="0" t="s">
        <v>46</v>
      </c>
      <c r="X112" s="0" t="s">
        <v>46</v>
      </c>
      <c r="Y112" s="0" t="s">
        <v>46</v>
      </c>
      <c r="Z112" s="0" t="s">
        <v>46</v>
      </c>
      <c r="AA112" s="0" t="s">
        <v>46</v>
      </c>
      <c r="AB112" s="0" t="s">
        <v>46</v>
      </c>
      <c r="AC112" s="0" t="s">
        <v>52</v>
      </c>
      <c r="AD112" s="0" t="s">
        <v>346</v>
      </c>
      <c r="AE112" s="0" t="s">
        <v>446</v>
      </c>
      <c r="AF112" s="0" t="s">
        <v>447</v>
      </c>
      <c r="AG112" s="0" t="s">
        <v>448</v>
      </c>
      <c r="AH112" s="0" t="s">
        <v>46</v>
      </c>
      <c r="AI112" s="0" t="s">
        <v>46</v>
      </c>
      <c r="AJ112" s="0" t="s">
        <v>46</v>
      </c>
      <c r="AK112" s="0" t="s">
        <v>46</v>
      </c>
      <c r="AL112" s="0" t="s">
        <v>46</v>
      </c>
    </row>
    <row r="113" customFormat="false" ht="15" hidden="false" customHeight="false" outlineLevel="0" collapsed="false">
      <c r="B113" s="0" t="str">
        <f aca="false">HYPERLINK("https://genome.ucsc.edu/cgi-bin/hgTracks?db=hg19&amp;position=chr10%3A126727615%2D126727615", "chr10:126727615")</f>
        <v>chr10:126727615</v>
      </c>
      <c r="C113" s="0" t="s">
        <v>311</v>
      </c>
      <c r="D113" s="0" t="n">
        <v>126727615</v>
      </c>
      <c r="E113" s="0" t="n">
        <v>126727615</v>
      </c>
      <c r="F113" s="0" t="s">
        <v>72</v>
      </c>
      <c r="G113" s="0" t="s">
        <v>312</v>
      </c>
      <c r="H113" s="0" t="s">
        <v>862</v>
      </c>
      <c r="I113" s="0" t="s">
        <v>863</v>
      </c>
      <c r="J113" s="0" t="s">
        <v>864</v>
      </c>
      <c r="K113" s="0" t="s">
        <v>46</v>
      </c>
      <c r="L113" s="0" t="str">
        <f aca="false">HYPERLINK("https://www.ncbi.nlm.nih.gov/snp/rs144283283", "rs144283283")</f>
        <v>rs144283283</v>
      </c>
      <c r="M113" s="0" t="str">
        <f aca="false">HYPERLINK("https://www.genecards.org/Search/Keyword?queryString=%5Baliases%5D(%20CTBP2%20)&amp;keywords=CTBP2", "CTBP2")</f>
        <v>CTBP2</v>
      </c>
      <c r="N113" s="0" t="s">
        <v>77</v>
      </c>
      <c r="O113" s="0" t="s">
        <v>623</v>
      </c>
      <c r="P113" s="0" t="s">
        <v>865</v>
      </c>
      <c r="Q113" s="0" t="n">
        <v>6.5E-006</v>
      </c>
      <c r="R113" s="0" t="n">
        <v>-1</v>
      </c>
      <c r="S113" s="0" t="n">
        <v>-1</v>
      </c>
      <c r="T113" s="0" t="n">
        <v>-1</v>
      </c>
      <c r="U113" s="0" t="n">
        <v>-1</v>
      </c>
      <c r="V113" s="0" t="s">
        <v>46</v>
      </c>
      <c r="W113" s="0" t="s">
        <v>46</v>
      </c>
      <c r="X113" s="0" t="s">
        <v>46</v>
      </c>
      <c r="Y113" s="0" t="s">
        <v>46</v>
      </c>
      <c r="Z113" s="0" t="s">
        <v>46</v>
      </c>
      <c r="AA113" s="0" t="s">
        <v>46</v>
      </c>
      <c r="AB113" s="0" t="s">
        <v>46</v>
      </c>
      <c r="AC113" s="0" t="s">
        <v>52</v>
      </c>
      <c r="AD113" s="0" t="s">
        <v>346</v>
      </c>
      <c r="AE113" s="0" t="s">
        <v>446</v>
      </c>
      <c r="AF113" s="0" t="s">
        <v>447</v>
      </c>
      <c r="AG113" s="0" t="s">
        <v>448</v>
      </c>
      <c r="AH113" s="0" t="s">
        <v>46</v>
      </c>
      <c r="AI113" s="0" t="s">
        <v>46</v>
      </c>
      <c r="AJ113" s="0" t="s">
        <v>46</v>
      </c>
      <c r="AK113" s="0" t="s">
        <v>46</v>
      </c>
      <c r="AL113" s="0" t="s">
        <v>46</v>
      </c>
    </row>
    <row r="114" customFormat="false" ht="15" hidden="false" customHeight="false" outlineLevel="0" collapsed="false">
      <c r="B114" s="0" t="str">
        <f aca="false">HYPERLINK("https://genome.ucsc.edu/cgi-bin/hgTracks?db=hg19&amp;position=chr11%3A1085814%2D1085814", "chr11:1085814")</f>
        <v>chr11:1085814</v>
      </c>
      <c r="C114" s="0" t="s">
        <v>286</v>
      </c>
      <c r="D114" s="0" t="n">
        <v>1085814</v>
      </c>
      <c r="E114" s="0" t="n">
        <v>1085814</v>
      </c>
      <c r="F114" s="0" t="s">
        <v>312</v>
      </c>
      <c r="G114" s="0" t="s">
        <v>72</v>
      </c>
      <c r="H114" s="0" t="s">
        <v>866</v>
      </c>
      <c r="I114" s="0" t="s">
        <v>867</v>
      </c>
      <c r="J114" s="0" t="s">
        <v>868</v>
      </c>
      <c r="K114" s="0" t="s">
        <v>46</v>
      </c>
      <c r="L114" s="0" t="s">
        <v>46</v>
      </c>
      <c r="M114" s="0" t="str">
        <f aca="false">HYPERLINK("https://www.genecards.org/Search/Keyword?queryString=%5Baliases%5D(%20MUC2%20)&amp;keywords=MUC2", "MUC2")</f>
        <v>MUC2</v>
      </c>
      <c r="N114" s="0" t="s">
        <v>77</v>
      </c>
      <c r="O114" s="0" t="s">
        <v>357</v>
      </c>
      <c r="P114" s="0" t="s">
        <v>869</v>
      </c>
      <c r="Q114" s="0" t="n">
        <v>0.0016</v>
      </c>
      <c r="R114" s="0" t="n">
        <v>-1</v>
      </c>
      <c r="S114" s="0" t="n">
        <v>-1</v>
      </c>
      <c r="T114" s="0" t="n">
        <v>-1</v>
      </c>
      <c r="U114" s="0" t="n">
        <v>-1</v>
      </c>
      <c r="V114" s="0" t="s">
        <v>46</v>
      </c>
      <c r="W114" s="0" t="s">
        <v>46</v>
      </c>
      <c r="X114" s="0" t="s">
        <v>46</v>
      </c>
      <c r="Y114" s="0" t="s">
        <v>46</v>
      </c>
      <c r="Z114" s="0" t="s">
        <v>46</v>
      </c>
      <c r="AA114" s="0" t="s">
        <v>46</v>
      </c>
      <c r="AB114" s="0" t="s">
        <v>46</v>
      </c>
      <c r="AC114" s="0" t="s">
        <v>52</v>
      </c>
      <c r="AD114" s="0" t="s">
        <v>870</v>
      </c>
      <c r="AE114" s="0" t="s">
        <v>871</v>
      </c>
      <c r="AF114" s="0" t="s">
        <v>872</v>
      </c>
      <c r="AG114" s="0" t="s">
        <v>873</v>
      </c>
      <c r="AH114" s="0" t="s">
        <v>46</v>
      </c>
      <c r="AI114" s="0" t="s">
        <v>46</v>
      </c>
      <c r="AJ114" s="0" t="s">
        <v>46</v>
      </c>
      <c r="AK114" s="0" t="s">
        <v>46</v>
      </c>
      <c r="AL114" s="0" t="s">
        <v>46</v>
      </c>
    </row>
    <row r="115" customFormat="false" ht="15" hidden="false" customHeight="false" outlineLevel="0" collapsed="false">
      <c r="B115" s="0" t="str">
        <f aca="false">HYPERLINK("https://genome.ucsc.edu/cgi-bin/hgTracks?db=hg19&amp;position=chr11%3A1085817%2D1085817", "chr11:1085817")</f>
        <v>chr11:1085817</v>
      </c>
      <c r="C115" s="0" t="s">
        <v>286</v>
      </c>
      <c r="D115" s="0" t="n">
        <v>1085817</v>
      </c>
      <c r="E115" s="0" t="n">
        <v>1085817</v>
      </c>
      <c r="F115" s="0" t="s">
        <v>312</v>
      </c>
      <c r="G115" s="0" t="s">
        <v>72</v>
      </c>
      <c r="H115" s="0" t="s">
        <v>874</v>
      </c>
      <c r="I115" s="0" t="s">
        <v>557</v>
      </c>
      <c r="J115" s="0" t="s">
        <v>875</v>
      </c>
      <c r="K115" s="0" t="s">
        <v>46</v>
      </c>
      <c r="L115" s="0" t="s">
        <v>46</v>
      </c>
      <c r="M115" s="0" t="str">
        <f aca="false">HYPERLINK("https://www.genecards.org/Search/Keyword?queryString=%5Baliases%5D(%20MUC2%20)&amp;keywords=MUC2", "MUC2")</f>
        <v>MUC2</v>
      </c>
      <c r="N115" s="0" t="s">
        <v>77</v>
      </c>
      <c r="O115" s="0" t="s">
        <v>357</v>
      </c>
      <c r="P115" s="0" t="s">
        <v>876</v>
      </c>
      <c r="Q115" s="0" t="n">
        <v>0.0016</v>
      </c>
      <c r="R115" s="0" t="n">
        <v>-1</v>
      </c>
      <c r="S115" s="0" t="n">
        <v>-1</v>
      </c>
      <c r="T115" s="0" t="n">
        <v>-1</v>
      </c>
      <c r="U115" s="0" t="n">
        <v>-1</v>
      </c>
      <c r="V115" s="0" t="s">
        <v>46</v>
      </c>
      <c r="W115" s="0" t="s">
        <v>46</v>
      </c>
      <c r="X115" s="0" t="s">
        <v>46</v>
      </c>
      <c r="Y115" s="0" t="s">
        <v>46</v>
      </c>
      <c r="Z115" s="0" t="s">
        <v>46</v>
      </c>
      <c r="AA115" s="0" t="s">
        <v>46</v>
      </c>
      <c r="AB115" s="0" t="s">
        <v>46</v>
      </c>
      <c r="AC115" s="0" t="s">
        <v>52</v>
      </c>
      <c r="AD115" s="0" t="s">
        <v>870</v>
      </c>
      <c r="AE115" s="0" t="s">
        <v>871</v>
      </c>
      <c r="AF115" s="0" t="s">
        <v>872</v>
      </c>
      <c r="AG115" s="0" t="s">
        <v>873</v>
      </c>
      <c r="AH115" s="0" t="s">
        <v>46</v>
      </c>
      <c r="AI115" s="0" t="s">
        <v>46</v>
      </c>
      <c r="AJ115" s="0" t="s">
        <v>46</v>
      </c>
      <c r="AK115" s="0" t="s">
        <v>46</v>
      </c>
      <c r="AL115" s="0" t="s">
        <v>46</v>
      </c>
    </row>
    <row r="116" customFormat="false" ht="15" hidden="false" customHeight="false" outlineLevel="0" collapsed="false">
      <c r="B116" s="0" t="str">
        <f aca="false">HYPERLINK("https://genome.ucsc.edu/cgi-bin/hgTracks?db=hg19&amp;position=chr11%3A1085819%2D1085820", "chr11:1085819")</f>
        <v>chr11:1085819</v>
      </c>
      <c r="C116" s="0" t="s">
        <v>286</v>
      </c>
      <c r="D116" s="0" t="n">
        <v>1085819</v>
      </c>
      <c r="E116" s="0" t="n">
        <v>1085820</v>
      </c>
      <c r="F116" s="0" t="s">
        <v>877</v>
      </c>
      <c r="G116" s="0" t="s">
        <v>312</v>
      </c>
      <c r="H116" s="0" t="s">
        <v>878</v>
      </c>
      <c r="I116" s="0" t="s">
        <v>879</v>
      </c>
      <c r="J116" s="0" t="s">
        <v>880</v>
      </c>
      <c r="K116" s="0" t="s">
        <v>46</v>
      </c>
      <c r="L116" s="0" t="s">
        <v>46</v>
      </c>
      <c r="M116" s="0" t="str">
        <f aca="false">HYPERLINK("https://www.genecards.org/Search/Keyword?queryString=%5Baliases%5D(%20MUC2%20)&amp;keywords=MUC2", "MUC2")</f>
        <v>MUC2</v>
      </c>
      <c r="N116" s="0" t="s">
        <v>77</v>
      </c>
      <c r="O116" s="0" t="s">
        <v>623</v>
      </c>
      <c r="P116" s="0" t="s">
        <v>881</v>
      </c>
      <c r="Q116" s="0" t="n">
        <v>0.0015</v>
      </c>
      <c r="R116" s="0" t="n">
        <v>-1</v>
      </c>
      <c r="S116" s="0" t="n">
        <v>-1</v>
      </c>
      <c r="T116" s="0" t="n">
        <v>-1</v>
      </c>
      <c r="U116" s="0" t="n">
        <v>-1</v>
      </c>
      <c r="V116" s="0" t="s">
        <v>46</v>
      </c>
      <c r="W116" s="0" t="s">
        <v>46</v>
      </c>
      <c r="X116" s="0" t="s">
        <v>46</v>
      </c>
      <c r="Y116" s="0" t="s">
        <v>46</v>
      </c>
      <c r="Z116" s="0" t="s">
        <v>46</v>
      </c>
      <c r="AA116" s="0" t="s">
        <v>46</v>
      </c>
      <c r="AB116" s="0" t="s">
        <v>46</v>
      </c>
      <c r="AC116" s="0" t="s">
        <v>52</v>
      </c>
      <c r="AD116" s="0" t="s">
        <v>870</v>
      </c>
      <c r="AE116" s="0" t="s">
        <v>871</v>
      </c>
      <c r="AF116" s="0" t="s">
        <v>872</v>
      </c>
      <c r="AG116" s="0" t="s">
        <v>873</v>
      </c>
      <c r="AH116" s="0" t="s">
        <v>46</v>
      </c>
      <c r="AI116" s="0" t="s">
        <v>46</v>
      </c>
      <c r="AJ116" s="0" t="s">
        <v>46</v>
      </c>
      <c r="AK116" s="0" t="s">
        <v>46</v>
      </c>
      <c r="AL116" s="0" t="s">
        <v>46</v>
      </c>
    </row>
    <row r="117" customFormat="false" ht="15" hidden="false" customHeight="false" outlineLevel="0" collapsed="false">
      <c r="B117" s="0" t="str">
        <f aca="false">HYPERLINK("https://genome.ucsc.edu/cgi-bin/hgTracks?db=hg19&amp;position=chr11%3A16816654%2D16816654", "chr11:16816654")</f>
        <v>chr11:16816654</v>
      </c>
      <c r="C117" s="0" t="s">
        <v>286</v>
      </c>
      <c r="D117" s="0" t="n">
        <v>16816654</v>
      </c>
      <c r="E117" s="0" t="n">
        <v>16816654</v>
      </c>
      <c r="F117" s="0" t="s">
        <v>40</v>
      </c>
      <c r="G117" s="0" t="s">
        <v>39</v>
      </c>
      <c r="H117" s="0" t="s">
        <v>636</v>
      </c>
      <c r="I117" s="0" t="s">
        <v>882</v>
      </c>
      <c r="J117" s="0" t="s">
        <v>883</v>
      </c>
      <c r="K117" s="0" t="s">
        <v>46</v>
      </c>
      <c r="L117" s="0" t="str">
        <f aca="false">HYPERLINK("https://www.ncbi.nlm.nih.gov/snp/rs925930942", "rs925930942")</f>
        <v>rs925930942</v>
      </c>
      <c r="M117" s="0" t="str">
        <f aca="false">HYPERLINK("https://www.genecards.org/Search/Keyword?queryString=%5Baliases%5D(%20PLEKHA7%20)&amp;keywords=PLEKHA7", "PLEKHA7")</f>
        <v>PLEKHA7</v>
      </c>
      <c r="N117" s="0" t="s">
        <v>63</v>
      </c>
      <c r="O117" s="0" t="s">
        <v>46</v>
      </c>
      <c r="P117" s="0" t="s">
        <v>46</v>
      </c>
      <c r="Q117" s="0" t="n">
        <v>-1</v>
      </c>
      <c r="R117" s="0" t="n">
        <v>-1</v>
      </c>
      <c r="S117" s="0" t="n">
        <v>-1</v>
      </c>
      <c r="T117" s="0" t="n">
        <v>-1</v>
      </c>
      <c r="U117" s="0" t="n">
        <v>-1</v>
      </c>
      <c r="V117" s="0" t="s">
        <v>46</v>
      </c>
      <c r="W117" s="0" t="s">
        <v>46</v>
      </c>
      <c r="X117" s="0" t="s">
        <v>385</v>
      </c>
      <c r="Y117" s="0" t="s">
        <v>64</v>
      </c>
      <c r="Z117" s="0" t="s">
        <v>46</v>
      </c>
      <c r="AA117" s="0" t="s">
        <v>46</v>
      </c>
      <c r="AB117" s="0" t="s">
        <v>46</v>
      </c>
      <c r="AC117" s="0" t="s">
        <v>52</v>
      </c>
      <c r="AD117" s="0" t="s">
        <v>53</v>
      </c>
      <c r="AE117" s="0" t="s">
        <v>884</v>
      </c>
      <c r="AF117" s="0" t="s">
        <v>885</v>
      </c>
      <c r="AG117" s="0" t="s">
        <v>886</v>
      </c>
      <c r="AH117" s="0" t="s">
        <v>46</v>
      </c>
      <c r="AI117" s="0" t="s">
        <v>46</v>
      </c>
      <c r="AJ117" s="0" t="s">
        <v>46</v>
      </c>
      <c r="AK117" s="0" t="s">
        <v>46</v>
      </c>
      <c r="AL117" s="0" t="s">
        <v>46</v>
      </c>
    </row>
    <row r="118" customFormat="false" ht="15" hidden="false" customHeight="false" outlineLevel="0" collapsed="false">
      <c r="B118" s="0" t="str">
        <f aca="false">HYPERLINK("https://genome.ucsc.edu/cgi-bin/hgTracks?db=hg19&amp;position=chr11%3A22225533%2D22225533", "chr11:22225533")</f>
        <v>chr11:22225533</v>
      </c>
      <c r="C118" s="0" t="s">
        <v>286</v>
      </c>
      <c r="D118" s="0" t="n">
        <v>22225533</v>
      </c>
      <c r="E118" s="0" t="n">
        <v>22225533</v>
      </c>
      <c r="F118" s="0" t="s">
        <v>72</v>
      </c>
      <c r="G118" s="0" t="s">
        <v>58</v>
      </c>
      <c r="H118" s="0" t="s">
        <v>887</v>
      </c>
      <c r="I118" s="0" t="s">
        <v>819</v>
      </c>
      <c r="J118" s="0" t="s">
        <v>888</v>
      </c>
      <c r="K118" s="0" t="s">
        <v>46</v>
      </c>
      <c r="L118" s="0" t="str">
        <f aca="false">HYPERLINK("https://www.ncbi.nlm.nih.gov/snp/rs74810265", "rs74810265")</f>
        <v>rs74810265</v>
      </c>
      <c r="M118" s="0" t="str">
        <f aca="false">HYPERLINK("https://www.genecards.org/Search/Keyword?queryString=%5Baliases%5D(%20ANO5%20)&amp;keywords=ANO5", "ANO5")</f>
        <v>ANO5</v>
      </c>
      <c r="N118" s="0" t="s">
        <v>63</v>
      </c>
      <c r="O118" s="0" t="s">
        <v>46</v>
      </c>
      <c r="P118" s="0" t="s">
        <v>46</v>
      </c>
      <c r="Q118" s="0" t="n">
        <v>0.01</v>
      </c>
      <c r="R118" s="0" t="n">
        <v>0.009</v>
      </c>
      <c r="S118" s="0" t="n">
        <v>0.0099</v>
      </c>
      <c r="T118" s="0" t="n">
        <v>-1</v>
      </c>
      <c r="U118" s="0" t="n">
        <v>0.0064</v>
      </c>
      <c r="V118" s="0" t="s">
        <v>46</v>
      </c>
      <c r="W118" s="0" t="s">
        <v>46</v>
      </c>
      <c r="X118" s="0" t="s">
        <v>49</v>
      </c>
      <c r="Y118" s="0" t="s">
        <v>64</v>
      </c>
      <c r="Z118" s="0" t="s">
        <v>46</v>
      </c>
      <c r="AA118" s="0" t="s">
        <v>46</v>
      </c>
      <c r="AB118" s="0" t="s">
        <v>46</v>
      </c>
      <c r="AC118" s="0" t="s">
        <v>52</v>
      </c>
      <c r="AD118" s="0" t="s">
        <v>53</v>
      </c>
      <c r="AE118" s="0" t="s">
        <v>889</v>
      </c>
      <c r="AF118" s="0" t="s">
        <v>890</v>
      </c>
      <c r="AG118" s="0" t="s">
        <v>891</v>
      </c>
      <c r="AH118" s="0" t="s">
        <v>892</v>
      </c>
      <c r="AI118" s="0" t="s">
        <v>46</v>
      </c>
      <c r="AJ118" s="0" t="s">
        <v>46</v>
      </c>
      <c r="AK118" s="0" t="s">
        <v>46</v>
      </c>
      <c r="AL118" s="0" t="s">
        <v>46</v>
      </c>
    </row>
    <row r="119" customFormat="false" ht="15" hidden="false" customHeight="false" outlineLevel="0" collapsed="false">
      <c r="B119" s="0" t="str">
        <f aca="false">HYPERLINK("https://genome.ucsc.edu/cgi-bin/hgTracks?db=hg19&amp;position=chr11%3A47640416%2D47640416", "chr11:47640416")</f>
        <v>chr11:47640416</v>
      </c>
      <c r="C119" s="0" t="s">
        <v>286</v>
      </c>
      <c r="D119" s="0" t="n">
        <v>47640416</v>
      </c>
      <c r="E119" s="0" t="n">
        <v>47640416</v>
      </c>
      <c r="F119" s="0" t="s">
        <v>312</v>
      </c>
      <c r="G119" s="0" t="s">
        <v>893</v>
      </c>
      <c r="H119" s="0" t="s">
        <v>894</v>
      </c>
      <c r="I119" s="0" t="s">
        <v>895</v>
      </c>
      <c r="J119" s="0" t="s">
        <v>896</v>
      </c>
      <c r="K119" s="0" t="s">
        <v>46</v>
      </c>
      <c r="L119" s="0" t="str">
        <f aca="false">HYPERLINK("https://www.ncbi.nlm.nih.gov/snp/rs138027870", "rs138027870")</f>
        <v>rs138027870</v>
      </c>
      <c r="M119" s="0" t="str">
        <f aca="false">HYPERLINK("https://www.genecards.org/Search/Keyword?queryString=%5Baliases%5D(%20MTCH2%20)&amp;keywords=MTCH2", "MTCH2")</f>
        <v>MTCH2</v>
      </c>
      <c r="N119" s="0" t="s">
        <v>77</v>
      </c>
      <c r="O119" s="0" t="s">
        <v>357</v>
      </c>
      <c r="P119" s="0" t="s">
        <v>897</v>
      </c>
      <c r="Q119" s="0" t="n">
        <v>0.0006</v>
      </c>
      <c r="R119" s="0" t="n">
        <v>9.316E-005</v>
      </c>
      <c r="S119" s="0" t="n">
        <v>7.522E-005</v>
      </c>
      <c r="T119" s="0" t="n">
        <v>-1</v>
      </c>
      <c r="U119" s="0" t="n">
        <v>0.0002</v>
      </c>
      <c r="V119" s="0" t="s">
        <v>46</v>
      </c>
      <c r="W119" s="0" t="s">
        <v>46</v>
      </c>
      <c r="X119" s="0" t="s">
        <v>46</v>
      </c>
      <c r="Y119" s="0" t="s">
        <v>46</v>
      </c>
      <c r="Z119" s="0" t="s">
        <v>46</v>
      </c>
      <c r="AA119" s="0" t="s">
        <v>46</v>
      </c>
      <c r="AB119" s="0" t="s">
        <v>46</v>
      </c>
      <c r="AC119" s="0" t="s">
        <v>52</v>
      </c>
      <c r="AD119" s="0" t="s">
        <v>53</v>
      </c>
      <c r="AE119" s="0" t="s">
        <v>898</v>
      </c>
      <c r="AF119" s="0" t="s">
        <v>899</v>
      </c>
      <c r="AG119" s="0" t="s">
        <v>900</v>
      </c>
      <c r="AH119" s="0" t="s">
        <v>46</v>
      </c>
      <c r="AI119" s="0" t="s">
        <v>46</v>
      </c>
      <c r="AJ119" s="0" t="s">
        <v>46</v>
      </c>
      <c r="AK119" s="0" t="s">
        <v>46</v>
      </c>
      <c r="AL119" s="0" t="s">
        <v>46</v>
      </c>
    </row>
    <row r="120" customFormat="false" ht="15" hidden="false" customHeight="false" outlineLevel="0" collapsed="false">
      <c r="B120" s="0" t="str">
        <f aca="false">HYPERLINK("https://genome.ucsc.edu/cgi-bin/hgTracks?db=hg19&amp;position=chr11%3A108151688%2D108151688", "chr11:108151688")</f>
        <v>chr11:108151688</v>
      </c>
      <c r="C120" s="0" t="s">
        <v>286</v>
      </c>
      <c r="D120" s="0" t="n">
        <v>108151688</v>
      </c>
      <c r="E120" s="0" t="n">
        <v>108151688</v>
      </c>
      <c r="F120" s="0" t="s">
        <v>39</v>
      </c>
      <c r="G120" s="0" t="s">
        <v>72</v>
      </c>
      <c r="H120" s="0" t="s">
        <v>901</v>
      </c>
      <c r="I120" s="0" t="s">
        <v>902</v>
      </c>
      <c r="J120" s="0" t="s">
        <v>903</v>
      </c>
      <c r="K120" s="0" t="s">
        <v>46</v>
      </c>
      <c r="L120" s="0" t="str">
        <f aca="false">HYPERLINK("https://www.ncbi.nlm.nih.gov/snp/rs148368017", "rs148368017")</f>
        <v>rs148368017</v>
      </c>
      <c r="M120" s="0" t="str">
        <f aca="false">HYPERLINK("https://www.genecards.org/Search/Keyword?queryString=%5Baliases%5D(%20ATM%20)&amp;keywords=ATM", "ATM")</f>
        <v>ATM</v>
      </c>
      <c r="N120" s="0" t="s">
        <v>63</v>
      </c>
      <c r="O120" s="0" t="s">
        <v>46</v>
      </c>
      <c r="P120" s="0" t="s">
        <v>46</v>
      </c>
      <c r="Q120" s="0" t="n">
        <v>0.0294</v>
      </c>
      <c r="R120" s="0" t="n">
        <v>0.0153</v>
      </c>
      <c r="S120" s="0" t="n">
        <v>0.017</v>
      </c>
      <c r="T120" s="0" t="n">
        <v>-1</v>
      </c>
      <c r="U120" s="0" t="n">
        <v>0.0117</v>
      </c>
      <c r="V120" s="0" t="s">
        <v>46</v>
      </c>
      <c r="W120" s="0" t="s">
        <v>46</v>
      </c>
      <c r="X120" s="0" t="s">
        <v>385</v>
      </c>
      <c r="Y120" s="0" t="s">
        <v>64</v>
      </c>
      <c r="Z120" s="0" t="s">
        <v>46</v>
      </c>
      <c r="AA120" s="0" t="s">
        <v>46</v>
      </c>
      <c r="AB120" s="0" t="s">
        <v>46</v>
      </c>
      <c r="AC120" s="0" t="s">
        <v>52</v>
      </c>
      <c r="AD120" s="0" t="s">
        <v>53</v>
      </c>
      <c r="AE120" s="0" t="s">
        <v>904</v>
      </c>
      <c r="AF120" s="0" t="s">
        <v>905</v>
      </c>
      <c r="AG120" s="0" t="s">
        <v>906</v>
      </c>
      <c r="AH120" s="0" t="s">
        <v>907</v>
      </c>
      <c r="AI120" s="0" t="s">
        <v>46</v>
      </c>
      <c r="AJ120" s="0" t="s">
        <v>46</v>
      </c>
      <c r="AK120" s="0" t="s">
        <v>46</v>
      </c>
      <c r="AL120" s="0" t="s">
        <v>46</v>
      </c>
    </row>
    <row r="121" customFormat="false" ht="15" hidden="false" customHeight="false" outlineLevel="0" collapsed="false">
      <c r="B121" s="0" t="str">
        <f aca="false">HYPERLINK("https://genome.ucsc.edu/cgi-bin/hgTracks?db=hg19&amp;position=chr11%3A111865593%2D111865593", "chr11:111865593")</f>
        <v>chr11:111865593</v>
      </c>
      <c r="C121" s="0" t="s">
        <v>286</v>
      </c>
      <c r="D121" s="0" t="n">
        <v>111865593</v>
      </c>
      <c r="E121" s="0" t="n">
        <v>111865593</v>
      </c>
      <c r="F121" s="0" t="s">
        <v>39</v>
      </c>
      <c r="G121" s="0" t="s">
        <v>58</v>
      </c>
      <c r="H121" s="0" t="s">
        <v>908</v>
      </c>
      <c r="I121" s="0" t="s">
        <v>909</v>
      </c>
      <c r="J121" s="0" t="s">
        <v>910</v>
      </c>
      <c r="K121" s="0" t="s">
        <v>46</v>
      </c>
      <c r="L121" s="0" t="str">
        <f aca="false">HYPERLINK("https://www.ncbi.nlm.nih.gov/snp/rs78043752", "rs78043752")</f>
        <v>rs78043752</v>
      </c>
      <c r="M121" s="0" t="str">
        <f aca="false">HYPERLINK("https://www.genecards.org/Search/Keyword?queryString=%5Baliases%5D(%20DIXDC1%20)&amp;keywords=DIXDC1", "DIXDC1")</f>
        <v>DIXDC1</v>
      </c>
      <c r="N121" s="0" t="s">
        <v>63</v>
      </c>
      <c r="O121" s="0" t="s">
        <v>46</v>
      </c>
      <c r="P121" s="0" t="s">
        <v>46</v>
      </c>
      <c r="Q121" s="0" t="n">
        <v>0.0132</v>
      </c>
      <c r="R121" s="0" t="n">
        <v>0.0127</v>
      </c>
      <c r="S121" s="0" t="n">
        <v>0.012</v>
      </c>
      <c r="T121" s="0" t="n">
        <v>-1</v>
      </c>
      <c r="U121" s="0" t="n">
        <v>0.0149</v>
      </c>
      <c r="V121" s="0" t="s">
        <v>46</v>
      </c>
      <c r="W121" s="0" t="s">
        <v>46</v>
      </c>
      <c r="X121" s="0" t="s">
        <v>49</v>
      </c>
      <c r="Y121" s="0" t="s">
        <v>64</v>
      </c>
      <c r="Z121" s="0" t="s">
        <v>46</v>
      </c>
      <c r="AA121" s="0" t="s">
        <v>46</v>
      </c>
      <c r="AB121" s="0" t="s">
        <v>46</v>
      </c>
      <c r="AC121" s="0" t="s">
        <v>52</v>
      </c>
      <c r="AD121" s="0" t="s">
        <v>53</v>
      </c>
      <c r="AE121" s="0" t="s">
        <v>911</v>
      </c>
      <c r="AF121" s="0" t="s">
        <v>912</v>
      </c>
      <c r="AG121" s="0" t="s">
        <v>913</v>
      </c>
      <c r="AH121" s="0" t="s">
        <v>46</v>
      </c>
      <c r="AI121" s="0" t="s">
        <v>46</v>
      </c>
      <c r="AJ121" s="0" t="s">
        <v>46</v>
      </c>
      <c r="AK121" s="0" t="s">
        <v>46</v>
      </c>
      <c r="AL121" s="0" t="s">
        <v>46</v>
      </c>
    </row>
    <row r="122" customFormat="false" ht="15" hidden="false" customHeight="false" outlineLevel="0" collapsed="false">
      <c r="B122" s="0" t="str">
        <f aca="false">HYPERLINK("https://genome.ucsc.edu/cgi-bin/hgTracks?db=hg19&amp;position=chr11%3A124135688%2D124135688", "chr11:124135688")</f>
        <v>chr11:124135688</v>
      </c>
      <c r="C122" s="0" t="s">
        <v>286</v>
      </c>
      <c r="D122" s="0" t="n">
        <v>124135688</v>
      </c>
      <c r="E122" s="0" t="n">
        <v>124135688</v>
      </c>
      <c r="F122" s="0" t="s">
        <v>40</v>
      </c>
      <c r="G122" s="0" t="s">
        <v>39</v>
      </c>
      <c r="H122" s="0" t="s">
        <v>914</v>
      </c>
      <c r="I122" s="0" t="s">
        <v>915</v>
      </c>
      <c r="J122" s="0" t="s">
        <v>916</v>
      </c>
      <c r="K122" s="0" t="s">
        <v>46</v>
      </c>
      <c r="L122" s="0" t="str">
        <f aca="false">HYPERLINK("https://www.ncbi.nlm.nih.gov/snp/rs202064362", "rs202064362")</f>
        <v>rs202064362</v>
      </c>
      <c r="M122" s="0" t="str">
        <f aca="false">HYPERLINK("https://www.genecards.org/Search/Keyword?queryString=%5Baliases%5D(%20OR8G1%20)%20OR%20%5Baliases%5D(%20OR8G5%20)&amp;keywords=OR8G1,OR8G5", "OR8G1;OR8G5")</f>
        <v>OR8G1;OR8G5</v>
      </c>
      <c r="N122" s="0" t="s">
        <v>917</v>
      </c>
      <c r="O122" s="0" t="s">
        <v>410</v>
      </c>
      <c r="P122" s="0" t="s">
        <v>918</v>
      </c>
      <c r="Q122" s="0" t="n">
        <v>0.0225</v>
      </c>
      <c r="R122" s="0" t="n">
        <v>0.0028</v>
      </c>
      <c r="S122" s="0" t="n">
        <v>0.004</v>
      </c>
      <c r="T122" s="0" t="n">
        <v>-1</v>
      </c>
      <c r="U122" s="0" t="n">
        <v>0.0045</v>
      </c>
      <c r="V122" s="0" t="s">
        <v>46</v>
      </c>
      <c r="W122" s="0" t="s">
        <v>46</v>
      </c>
      <c r="X122" s="0" t="s">
        <v>46</v>
      </c>
      <c r="Y122" s="0" t="s">
        <v>46</v>
      </c>
      <c r="Z122" s="0" t="s">
        <v>46</v>
      </c>
      <c r="AA122" s="0" t="s">
        <v>46</v>
      </c>
      <c r="AB122" s="0" t="s">
        <v>46</v>
      </c>
      <c r="AC122" s="0" t="s">
        <v>52</v>
      </c>
      <c r="AD122" s="0" t="s">
        <v>182</v>
      </c>
      <c r="AE122" s="0" t="s">
        <v>919</v>
      </c>
      <c r="AF122" s="0" t="s">
        <v>920</v>
      </c>
      <c r="AG122" s="0" t="s">
        <v>921</v>
      </c>
      <c r="AH122" s="0" t="s">
        <v>46</v>
      </c>
      <c r="AI122" s="0" t="s">
        <v>46</v>
      </c>
      <c r="AJ122" s="0" t="s">
        <v>46</v>
      </c>
      <c r="AK122" s="0" t="s">
        <v>46</v>
      </c>
      <c r="AL122" s="0" t="s">
        <v>397</v>
      </c>
    </row>
    <row r="123" customFormat="false" ht="15" hidden="false" customHeight="false" outlineLevel="0" collapsed="false">
      <c r="B123" s="0" t="str">
        <f aca="false">HYPERLINK("https://genome.ucsc.edu/cgi-bin/hgTracks?db=hg19&amp;position=chr11%3A134078847%2D134078847", "chr11:134078847")</f>
        <v>chr11:134078847</v>
      </c>
      <c r="C123" s="0" t="s">
        <v>286</v>
      </c>
      <c r="D123" s="0" t="n">
        <v>134078847</v>
      </c>
      <c r="E123" s="0" t="n">
        <v>134078847</v>
      </c>
      <c r="F123" s="0" t="s">
        <v>312</v>
      </c>
      <c r="G123" s="0" t="s">
        <v>72</v>
      </c>
      <c r="H123" s="0" t="s">
        <v>922</v>
      </c>
      <c r="I123" s="0" t="s">
        <v>923</v>
      </c>
      <c r="J123" s="0" t="s">
        <v>924</v>
      </c>
      <c r="K123" s="0" t="s">
        <v>46</v>
      </c>
      <c r="L123" s="0" t="str">
        <f aca="false">HYPERLINK("https://www.ncbi.nlm.nih.gov/snp/rs754223024", "rs754223024")</f>
        <v>rs754223024</v>
      </c>
      <c r="M123" s="0" t="str">
        <f aca="false">HYPERLINK("https://www.genecards.org/Search/Keyword?queryString=%5Baliases%5D(%20NCAPD3%20)&amp;keywords=NCAPD3", "NCAPD3")</f>
        <v>NCAPD3</v>
      </c>
      <c r="N123" s="0" t="s">
        <v>45</v>
      </c>
      <c r="O123" s="0" t="s">
        <v>46</v>
      </c>
      <c r="P123" s="0" t="s">
        <v>925</v>
      </c>
      <c r="Q123" s="0" t="n">
        <v>0.0052</v>
      </c>
      <c r="R123" s="0" t="n">
        <v>0.0046</v>
      </c>
      <c r="S123" s="0" t="n">
        <v>0.0021</v>
      </c>
      <c r="T123" s="0" t="n">
        <v>-1</v>
      </c>
      <c r="U123" s="0" t="n">
        <v>0.0058</v>
      </c>
      <c r="V123" s="0" t="s">
        <v>46</v>
      </c>
      <c r="W123" s="0" t="s">
        <v>46</v>
      </c>
      <c r="X123" s="0" t="s">
        <v>46</v>
      </c>
      <c r="Y123" s="0" t="s">
        <v>46</v>
      </c>
      <c r="Z123" s="0" t="s">
        <v>46</v>
      </c>
      <c r="AA123" s="0" t="s">
        <v>46</v>
      </c>
      <c r="AB123" s="0" t="s">
        <v>46</v>
      </c>
      <c r="AC123" s="0" t="s">
        <v>52</v>
      </c>
      <c r="AD123" s="0" t="s">
        <v>53</v>
      </c>
      <c r="AE123" s="0" t="s">
        <v>926</v>
      </c>
      <c r="AF123" s="0" t="s">
        <v>927</v>
      </c>
      <c r="AG123" s="0" t="s">
        <v>928</v>
      </c>
      <c r="AH123" s="0" t="s">
        <v>46</v>
      </c>
      <c r="AI123" s="0" t="s">
        <v>929</v>
      </c>
      <c r="AJ123" s="0" t="s">
        <v>46</v>
      </c>
      <c r="AK123" s="0" t="s">
        <v>46</v>
      </c>
      <c r="AL123" s="0" t="s">
        <v>46</v>
      </c>
    </row>
    <row r="124" customFormat="false" ht="15" hidden="false" customHeight="false" outlineLevel="0" collapsed="false">
      <c r="B124" s="0" t="str">
        <f aca="false">HYPERLINK("https://genome.ucsc.edu/cgi-bin/hgTracks?db=hg19&amp;position=chr12%3A8976098%2D8976098", "chr12:8976098")</f>
        <v>chr12:8976098</v>
      </c>
      <c r="C124" s="0" t="s">
        <v>145</v>
      </c>
      <c r="D124" s="0" t="n">
        <v>8976098</v>
      </c>
      <c r="E124" s="0" t="n">
        <v>8976098</v>
      </c>
      <c r="F124" s="0" t="s">
        <v>40</v>
      </c>
      <c r="G124" s="0" t="s">
        <v>58</v>
      </c>
      <c r="H124" s="0" t="s">
        <v>930</v>
      </c>
      <c r="I124" s="0" t="s">
        <v>796</v>
      </c>
      <c r="J124" s="0" t="s">
        <v>797</v>
      </c>
      <c r="K124" s="0" t="s">
        <v>46</v>
      </c>
      <c r="L124" s="0" t="str">
        <f aca="false">HYPERLINK("https://www.ncbi.nlm.nih.gov/snp/rs184465289", "rs184465289")</f>
        <v>rs184465289</v>
      </c>
      <c r="M124" s="0" t="str">
        <f aca="false">HYPERLINK("https://www.genecards.org/Search/Keyword?queryString=%5Baliases%5D(%20A2ML1%20)&amp;keywords=A2ML1", "A2ML1")</f>
        <v>A2ML1</v>
      </c>
      <c r="N124" s="0" t="s">
        <v>366</v>
      </c>
      <c r="O124" s="0" t="s">
        <v>46</v>
      </c>
      <c r="P124" s="0" t="s">
        <v>46</v>
      </c>
      <c r="Q124" s="0" t="n">
        <v>0.004</v>
      </c>
      <c r="R124" s="0" t="n">
        <v>0.0027</v>
      </c>
      <c r="S124" s="0" t="n">
        <v>0.0032</v>
      </c>
      <c r="T124" s="0" t="n">
        <v>-1</v>
      </c>
      <c r="U124" s="0" t="n">
        <v>0.0041</v>
      </c>
      <c r="V124" s="0" t="s">
        <v>46</v>
      </c>
      <c r="W124" s="0" t="s">
        <v>46</v>
      </c>
      <c r="X124" s="0" t="s">
        <v>49</v>
      </c>
      <c r="Y124" s="0" t="s">
        <v>64</v>
      </c>
      <c r="Z124" s="0" t="s">
        <v>46</v>
      </c>
      <c r="AA124" s="0" t="s">
        <v>46</v>
      </c>
      <c r="AB124" s="0" t="s">
        <v>46</v>
      </c>
      <c r="AC124" s="0" t="s">
        <v>52</v>
      </c>
      <c r="AD124" s="0" t="s">
        <v>53</v>
      </c>
      <c r="AE124" s="0" t="s">
        <v>931</v>
      </c>
      <c r="AF124" s="0" t="s">
        <v>932</v>
      </c>
      <c r="AG124" s="0" t="s">
        <v>933</v>
      </c>
      <c r="AH124" s="0" t="s">
        <v>46</v>
      </c>
      <c r="AI124" s="0" t="s">
        <v>46</v>
      </c>
      <c r="AJ124" s="0" t="s">
        <v>46</v>
      </c>
      <c r="AK124" s="0" t="s">
        <v>46</v>
      </c>
      <c r="AL124" s="0" t="s">
        <v>46</v>
      </c>
    </row>
    <row r="125" customFormat="false" ht="15" hidden="false" customHeight="false" outlineLevel="0" collapsed="false">
      <c r="B125" s="0" t="str">
        <f aca="false">HYPERLINK("https://genome.ucsc.edu/cgi-bin/hgTracks?db=hg19&amp;position=chr12%3A11286142%2D11286142", "chr12:11286142")</f>
        <v>chr12:11286142</v>
      </c>
      <c r="C125" s="0" t="s">
        <v>145</v>
      </c>
      <c r="D125" s="0" t="n">
        <v>11286142</v>
      </c>
      <c r="E125" s="0" t="n">
        <v>11286142</v>
      </c>
      <c r="F125" s="0" t="s">
        <v>312</v>
      </c>
      <c r="G125" s="0" t="s">
        <v>934</v>
      </c>
      <c r="H125" s="0" t="s">
        <v>672</v>
      </c>
      <c r="I125" s="0" t="s">
        <v>935</v>
      </c>
      <c r="J125" s="0" t="s">
        <v>936</v>
      </c>
      <c r="K125" s="0" t="s">
        <v>46</v>
      </c>
      <c r="L125" s="0" t="s">
        <v>46</v>
      </c>
      <c r="M125" s="0" t="str">
        <f aca="false">HYPERLINK("https://www.genecards.org/Search/Keyword?queryString=%5Baliases%5D(%20TAS2R30%20)&amp;keywords=TAS2R30", "TAS2R30")</f>
        <v>TAS2R30</v>
      </c>
      <c r="N125" s="0" t="s">
        <v>77</v>
      </c>
      <c r="O125" s="0" t="s">
        <v>357</v>
      </c>
      <c r="P125" s="0" t="s">
        <v>937</v>
      </c>
      <c r="Q125" s="0" t="n">
        <v>0.0018</v>
      </c>
      <c r="R125" s="0" t="n">
        <v>-1</v>
      </c>
      <c r="S125" s="0" t="n">
        <v>-1</v>
      </c>
      <c r="T125" s="0" t="n">
        <v>-1</v>
      </c>
      <c r="U125" s="0" t="n">
        <v>-1</v>
      </c>
      <c r="V125" s="0" t="s">
        <v>46</v>
      </c>
      <c r="W125" s="0" t="s">
        <v>46</v>
      </c>
      <c r="X125" s="0" t="s">
        <v>46</v>
      </c>
      <c r="Y125" s="0" t="s">
        <v>46</v>
      </c>
      <c r="Z125" s="0" t="s">
        <v>46</v>
      </c>
      <c r="AA125" s="0" t="s">
        <v>46</v>
      </c>
      <c r="AB125" s="0" t="s">
        <v>46</v>
      </c>
      <c r="AC125" s="0" t="s">
        <v>52</v>
      </c>
      <c r="AD125" s="0" t="s">
        <v>53</v>
      </c>
      <c r="AE125" s="0" t="s">
        <v>938</v>
      </c>
      <c r="AF125" s="0" t="s">
        <v>939</v>
      </c>
      <c r="AG125" s="0" t="s">
        <v>940</v>
      </c>
      <c r="AH125" s="0" t="s">
        <v>46</v>
      </c>
      <c r="AI125" s="0" t="s">
        <v>46</v>
      </c>
      <c r="AJ125" s="0" t="s">
        <v>46</v>
      </c>
      <c r="AK125" s="0" t="s">
        <v>46</v>
      </c>
      <c r="AL125" s="0" t="s">
        <v>397</v>
      </c>
    </row>
    <row r="126" customFormat="false" ht="15" hidden="false" customHeight="false" outlineLevel="0" collapsed="false">
      <c r="B126" s="0" t="str">
        <f aca="false">HYPERLINK("https://genome.ucsc.edu/cgi-bin/hgTracks?db=hg19&amp;position=chr12%3A14767768%2D14767768", "chr12:14767768")</f>
        <v>chr12:14767768</v>
      </c>
      <c r="C126" s="0" t="s">
        <v>145</v>
      </c>
      <c r="D126" s="0" t="n">
        <v>14767768</v>
      </c>
      <c r="E126" s="0" t="n">
        <v>14767768</v>
      </c>
      <c r="F126" s="0" t="s">
        <v>39</v>
      </c>
      <c r="G126" s="0" t="s">
        <v>58</v>
      </c>
      <c r="H126" s="0" t="s">
        <v>941</v>
      </c>
      <c r="I126" s="0" t="s">
        <v>942</v>
      </c>
      <c r="J126" s="0" t="s">
        <v>943</v>
      </c>
      <c r="K126" s="0" t="s">
        <v>46</v>
      </c>
      <c r="L126" s="0" t="str">
        <f aca="false">HYPERLINK("https://www.ncbi.nlm.nih.gov/snp/rs373571879", "rs373571879")</f>
        <v>rs373571879</v>
      </c>
      <c r="M126" s="0" t="str">
        <f aca="false">HYPERLINK("https://www.genecards.org/Search/Keyword?queryString=%5Baliases%5D(%20GUCY2C%20)%20OR%20%5Baliases%5D(%20PLBD1-AS1%20)&amp;keywords=GUCY2C,PLBD1-AS1", "GUCY2C;PLBD1-AS1")</f>
        <v>GUCY2C;PLBD1-AS1</v>
      </c>
      <c r="N126" s="0" t="s">
        <v>366</v>
      </c>
      <c r="O126" s="0" t="s">
        <v>46</v>
      </c>
      <c r="P126" s="0" t="s">
        <v>46</v>
      </c>
      <c r="Q126" s="0" t="n">
        <v>0.0138</v>
      </c>
      <c r="R126" s="0" t="n">
        <v>0.0003</v>
      </c>
      <c r="S126" s="0" t="n">
        <v>0.0004</v>
      </c>
      <c r="T126" s="0" t="n">
        <v>-1</v>
      </c>
      <c r="U126" s="0" t="n">
        <v>0.0002</v>
      </c>
      <c r="V126" s="0" t="s">
        <v>46</v>
      </c>
      <c r="W126" s="0" t="s">
        <v>46</v>
      </c>
      <c r="X126" s="0" t="s">
        <v>340</v>
      </c>
      <c r="Y126" s="0" t="s">
        <v>64</v>
      </c>
      <c r="Z126" s="0" t="s">
        <v>46</v>
      </c>
      <c r="AA126" s="0" t="s">
        <v>46</v>
      </c>
      <c r="AB126" s="0" t="s">
        <v>46</v>
      </c>
      <c r="AC126" s="0" t="s">
        <v>52</v>
      </c>
      <c r="AD126" s="0" t="s">
        <v>182</v>
      </c>
      <c r="AE126" s="0" t="s">
        <v>944</v>
      </c>
      <c r="AF126" s="0" t="s">
        <v>945</v>
      </c>
      <c r="AG126" s="0" t="s">
        <v>946</v>
      </c>
      <c r="AH126" s="0" t="s">
        <v>947</v>
      </c>
      <c r="AI126" s="0" t="s">
        <v>46</v>
      </c>
      <c r="AJ126" s="0" t="s">
        <v>46</v>
      </c>
      <c r="AK126" s="0" t="s">
        <v>46</v>
      </c>
      <c r="AL126" s="0" t="s">
        <v>46</v>
      </c>
    </row>
    <row r="127" customFormat="false" ht="15" hidden="false" customHeight="false" outlineLevel="0" collapsed="false">
      <c r="B127" s="0" t="str">
        <f aca="false">HYPERLINK("https://genome.ucsc.edu/cgi-bin/hgTracks?db=hg19&amp;position=chr12%3A28114897%2D28114897", "chr12:28114897")</f>
        <v>chr12:28114897</v>
      </c>
      <c r="C127" s="0" t="s">
        <v>145</v>
      </c>
      <c r="D127" s="0" t="n">
        <v>28114897</v>
      </c>
      <c r="E127" s="0" t="n">
        <v>28114897</v>
      </c>
      <c r="F127" s="0" t="s">
        <v>312</v>
      </c>
      <c r="G127" s="0" t="s">
        <v>39</v>
      </c>
      <c r="H127" s="0" t="s">
        <v>948</v>
      </c>
      <c r="I127" s="0" t="s">
        <v>74</v>
      </c>
      <c r="J127" s="0" t="s">
        <v>949</v>
      </c>
      <c r="K127" s="0" t="s">
        <v>46</v>
      </c>
      <c r="L127" s="0" t="str">
        <f aca="false">HYPERLINK("https://www.ncbi.nlm.nih.gov/snp/rs752256571", "rs752256571")</f>
        <v>rs752256571</v>
      </c>
      <c r="M127" s="0" t="str">
        <f aca="false">HYPERLINK("https://www.genecards.org/Search/Keyword?queryString=%5Baliases%5D(%20PTHLH%20)&amp;keywords=PTHLH", "PTHLH")</f>
        <v>PTHLH</v>
      </c>
      <c r="N127" s="0" t="s">
        <v>601</v>
      </c>
      <c r="O127" s="0" t="s">
        <v>357</v>
      </c>
      <c r="P127" s="0" t="s">
        <v>950</v>
      </c>
      <c r="Q127" s="0" t="n">
        <v>0.0071</v>
      </c>
      <c r="R127" s="0" t="n">
        <v>0.0061</v>
      </c>
      <c r="S127" s="0" t="n">
        <v>0.0066</v>
      </c>
      <c r="T127" s="0" t="n">
        <v>-1</v>
      </c>
      <c r="U127" s="0" t="n">
        <v>0.0094</v>
      </c>
      <c r="V127" s="0" t="s">
        <v>46</v>
      </c>
      <c r="W127" s="0" t="s">
        <v>46</v>
      </c>
      <c r="X127" s="0" t="s">
        <v>46</v>
      </c>
      <c r="Y127" s="0" t="s">
        <v>46</v>
      </c>
      <c r="Z127" s="0" t="s">
        <v>46</v>
      </c>
      <c r="AA127" s="0" t="s">
        <v>46</v>
      </c>
      <c r="AB127" s="0" t="s">
        <v>46</v>
      </c>
      <c r="AC127" s="0" t="s">
        <v>52</v>
      </c>
      <c r="AD127" s="0" t="s">
        <v>53</v>
      </c>
      <c r="AE127" s="0" t="s">
        <v>951</v>
      </c>
      <c r="AF127" s="0" t="s">
        <v>952</v>
      </c>
      <c r="AG127" s="0" t="s">
        <v>953</v>
      </c>
      <c r="AH127" s="0" t="s">
        <v>954</v>
      </c>
      <c r="AI127" s="0" t="s">
        <v>46</v>
      </c>
      <c r="AJ127" s="0" t="s">
        <v>46</v>
      </c>
      <c r="AK127" s="0" t="s">
        <v>46</v>
      </c>
      <c r="AL127" s="0" t="s">
        <v>46</v>
      </c>
    </row>
    <row r="128" customFormat="false" ht="15" hidden="false" customHeight="false" outlineLevel="0" collapsed="false">
      <c r="B128" s="0" t="str">
        <f aca="false">HYPERLINK("https://genome.ucsc.edu/cgi-bin/hgTracks?db=hg19&amp;position=chr12%3A29449817%2D29449817", "chr12:29449817")</f>
        <v>chr12:29449817</v>
      </c>
      <c r="C128" s="0" t="s">
        <v>145</v>
      </c>
      <c r="D128" s="0" t="n">
        <v>29449817</v>
      </c>
      <c r="E128" s="0" t="n">
        <v>29449817</v>
      </c>
      <c r="F128" s="0" t="s">
        <v>40</v>
      </c>
      <c r="G128" s="0" t="s">
        <v>58</v>
      </c>
      <c r="H128" s="0" t="s">
        <v>955</v>
      </c>
      <c r="I128" s="0" t="s">
        <v>796</v>
      </c>
      <c r="J128" s="0" t="s">
        <v>797</v>
      </c>
      <c r="K128" s="0" t="s">
        <v>46</v>
      </c>
      <c r="L128" s="0" t="str">
        <f aca="false">HYPERLINK("https://www.ncbi.nlm.nih.gov/snp/rs528618469", "rs528618469")</f>
        <v>rs528618469</v>
      </c>
      <c r="M128" s="0" t="str">
        <f aca="false">HYPERLINK("https://www.genecards.org/Search/Keyword?queryString=%5Baliases%5D(%20AX746523%20)%20OR%20%5Baliases%5D(%20LOC100506606%20)&amp;keywords=AX746523,LOC100506606", "AX746523;LOC100506606")</f>
        <v>AX746523;LOC100506606</v>
      </c>
      <c r="N128" s="0" t="s">
        <v>956</v>
      </c>
      <c r="O128" s="0" t="s">
        <v>46</v>
      </c>
      <c r="P128" s="0" t="s">
        <v>46</v>
      </c>
      <c r="Q128" s="0" t="n">
        <v>0.0132</v>
      </c>
      <c r="R128" s="0" t="n">
        <v>0.0024</v>
      </c>
      <c r="S128" s="0" t="n">
        <v>0.0018</v>
      </c>
      <c r="T128" s="0" t="n">
        <v>-1</v>
      </c>
      <c r="U128" s="0" t="n">
        <v>0.0038</v>
      </c>
      <c r="V128" s="0" t="s">
        <v>46</v>
      </c>
      <c r="W128" s="0" t="s">
        <v>46</v>
      </c>
      <c r="X128" s="0" t="s">
        <v>385</v>
      </c>
      <c r="Y128" s="0" t="s">
        <v>64</v>
      </c>
      <c r="Z128" s="0" t="s">
        <v>46</v>
      </c>
      <c r="AA128" s="0" t="s">
        <v>46</v>
      </c>
      <c r="AB128" s="0" t="s">
        <v>46</v>
      </c>
      <c r="AC128" s="0" t="s">
        <v>52</v>
      </c>
      <c r="AD128" s="0" t="s">
        <v>182</v>
      </c>
      <c r="AE128" s="0" t="s">
        <v>46</v>
      </c>
      <c r="AF128" s="0" t="s">
        <v>46</v>
      </c>
      <c r="AG128" s="0" t="s">
        <v>46</v>
      </c>
      <c r="AH128" s="0" t="s">
        <v>46</v>
      </c>
      <c r="AI128" s="0" t="s">
        <v>46</v>
      </c>
      <c r="AJ128" s="0" t="s">
        <v>46</v>
      </c>
      <c r="AK128" s="0" t="s">
        <v>46</v>
      </c>
      <c r="AL128" s="0" t="s">
        <v>46</v>
      </c>
    </row>
    <row r="129" customFormat="false" ht="15" hidden="false" customHeight="false" outlineLevel="0" collapsed="false">
      <c r="B129" s="0" t="str">
        <f aca="false">HYPERLINK("https://genome.ucsc.edu/cgi-bin/hgTracks?db=hg19&amp;position=chr12%3A31247819%2D31247819", "chr12:31247819")</f>
        <v>chr12:31247819</v>
      </c>
      <c r="C129" s="0" t="s">
        <v>145</v>
      </c>
      <c r="D129" s="0" t="n">
        <v>31247819</v>
      </c>
      <c r="E129" s="0" t="n">
        <v>31247819</v>
      </c>
      <c r="F129" s="0" t="s">
        <v>72</v>
      </c>
      <c r="G129" s="0" t="s">
        <v>58</v>
      </c>
      <c r="H129" s="0" t="s">
        <v>957</v>
      </c>
      <c r="I129" s="0" t="s">
        <v>958</v>
      </c>
      <c r="J129" s="0" t="s">
        <v>959</v>
      </c>
      <c r="K129" s="0" t="s">
        <v>46</v>
      </c>
      <c r="L129" s="0" t="str">
        <f aca="false">HYPERLINK("https://www.ncbi.nlm.nih.gov/snp/rs878987041", "rs878987041")</f>
        <v>rs878987041</v>
      </c>
      <c r="M129" s="0" t="str">
        <f aca="false">HYPERLINK("https://www.genecards.org/Search/Keyword?queryString=%5Baliases%5D(%20DDX11%20)&amp;keywords=DDX11", "DDX11")</f>
        <v>DDX11</v>
      </c>
      <c r="N129" s="0" t="s">
        <v>63</v>
      </c>
      <c r="O129" s="0" t="s">
        <v>46</v>
      </c>
      <c r="P129" s="0" t="s">
        <v>46</v>
      </c>
      <c r="Q129" s="0" t="n">
        <v>0.0026</v>
      </c>
      <c r="R129" s="0" t="n">
        <v>0.0002</v>
      </c>
      <c r="S129" s="0" t="n">
        <v>0.0002</v>
      </c>
      <c r="T129" s="0" t="n">
        <v>-1</v>
      </c>
      <c r="U129" s="0" t="n">
        <v>0.0004</v>
      </c>
      <c r="V129" s="0" t="s">
        <v>46</v>
      </c>
      <c r="W129" s="0" t="s">
        <v>46</v>
      </c>
      <c r="X129" s="0" t="s">
        <v>385</v>
      </c>
      <c r="Y129" s="0" t="s">
        <v>64</v>
      </c>
      <c r="Z129" s="0" t="s">
        <v>46</v>
      </c>
      <c r="AA129" s="0" t="s">
        <v>46</v>
      </c>
      <c r="AB129" s="0" t="s">
        <v>46</v>
      </c>
      <c r="AC129" s="0" t="s">
        <v>52</v>
      </c>
      <c r="AD129" s="0" t="s">
        <v>53</v>
      </c>
      <c r="AE129" s="0" t="s">
        <v>46</v>
      </c>
      <c r="AF129" s="0" t="s">
        <v>960</v>
      </c>
      <c r="AG129" s="0" t="s">
        <v>961</v>
      </c>
      <c r="AH129" s="0" t="s">
        <v>46</v>
      </c>
      <c r="AI129" s="0" t="s">
        <v>46</v>
      </c>
      <c r="AJ129" s="0" t="s">
        <v>46</v>
      </c>
      <c r="AK129" s="0" t="s">
        <v>46</v>
      </c>
      <c r="AL129" s="0" t="s">
        <v>195</v>
      </c>
    </row>
    <row r="130" customFormat="false" ht="15" hidden="false" customHeight="false" outlineLevel="0" collapsed="false">
      <c r="B130" s="0" t="str">
        <f aca="false">HYPERLINK("https://genome.ucsc.edu/cgi-bin/hgTracks?db=hg19&amp;position=chr12%3A50356177%2D50356177", "chr12:50356177")</f>
        <v>chr12:50356177</v>
      </c>
      <c r="C130" s="0" t="s">
        <v>145</v>
      </c>
      <c r="D130" s="0" t="n">
        <v>50356177</v>
      </c>
      <c r="E130" s="0" t="n">
        <v>50356177</v>
      </c>
      <c r="F130" s="0" t="s">
        <v>58</v>
      </c>
      <c r="G130" s="0" t="s">
        <v>312</v>
      </c>
      <c r="H130" s="0" t="s">
        <v>962</v>
      </c>
      <c r="I130" s="0" t="s">
        <v>882</v>
      </c>
      <c r="J130" s="0" t="s">
        <v>963</v>
      </c>
      <c r="K130" s="0" t="s">
        <v>46</v>
      </c>
      <c r="L130" s="0" t="s">
        <v>46</v>
      </c>
      <c r="M130" s="0" t="str">
        <f aca="false">HYPERLINK("https://www.genecards.org/Search/Keyword?queryString=%5Baliases%5D(%20AQP5%20)%20OR%20%5Baliases%5D(%20LOC101927318%20)&amp;keywords=AQP5,LOC101927318", "AQP5;LOC101927318")</f>
        <v>AQP5;LOC101927318</v>
      </c>
      <c r="N130" s="0" t="s">
        <v>366</v>
      </c>
      <c r="O130" s="0" t="s">
        <v>46</v>
      </c>
      <c r="P130" s="0" t="s">
        <v>46</v>
      </c>
      <c r="Q130" s="0" t="n">
        <v>-1</v>
      </c>
      <c r="R130" s="0" t="n">
        <v>-1</v>
      </c>
      <c r="S130" s="0" t="n">
        <v>-1</v>
      </c>
      <c r="T130" s="0" t="n">
        <v>-1</v>
      </c>
      <c r="U130" s="0" t="n">
        <v>-1</v>
      </c>
      <c r="V130" s="0" t="s">
        <v>46</v>
      </c>
      <c r="W130" s="0" t="s">
        <v>46</v>
      </c>
      <c r="X130" s="0" t="s">
        <v>46</v>
      </c>
      <c r="Y130" s="0" t="s">
        <v>46</v>
      </c>
      <c r="Z130" s="0" t="s">
        <v>46</v>
      </c>
      <c r="AA130" s="0" t="s">
        <v>46</v>
      </c>
      <c r="AB130" s="0" t="s">
        <v>46</v>
      </c>
      <c r="AC130" s="0" t="s">
        <v>319</v>
      </c>
      <c r="AD130" s="0" t="s">
        <v>182</v>
      </c>
      <c r="AE130" s="0" t="s">
        <v>964</v>
      </c>
      <c r="AF130" s="0" t="s">
        <v>965</v>
      </c>
      <c r="AG130" s="0" t="s">
        <v>966</v>
      </c>
      <c r="AH130" s="0" t="s">
        <v>967</v>
      </c>
      <c r="AI130" s="0" t="s">
        <v>46</v>
      </c>
      <c r="AJ130" s="0" t="s">
        <v>46</v>
      </c>
      <c r="AK130" s="0" t="s">
        <v>46</v>
      </c>
      <c r="AL130" s="0" t="s">
        <v>46</v>
      </c>
    </row>
    <row r="131" customFormat="false" ht="15" hidden="false" customHeight="false" outlineLevel="0" collapsed="false">
      <c r="B131" s="0" t="str">
        <f aca="false">HYPERLINK("https://genome.ucsc.edu/cgi-bin/hgTracks?db=hg19&amp;position=chr12%3A51512683%2D51512683", "chr12:51512683")</f>
        <v>chr12:51512683</v>
      </c>
      <c r="C131" s="0" t="s">
        <v>145</v>
      </c>
      <c r="D131" s="0" t="n">
        <v>51512683</v>
      </c>
      <c r="E131" s="0" t="n">
        <v>51512683</v>
      </c>
      <c r="F131" s="0" t="s">
        <v>72</v>
      </c>
      <c r="G131" s="0" t="s">
        <v>39</v>
      </c>
      <c r="H131" s="0" t="s">
        <v>968</v>
      </c>
      <c r="I131" s="0" t="s">
        <v>648</v>
      </c>
      <c r="J131" s="0" t="s">
        <v>969</v>
      </c>
      <c r="K131" s="0" t="s">
        <v>46</v>
      </c>
      <c r="L131" s="0" t="str">
        <f aca="false">HYPERLINK("https://www.ncbi.nlm.nih.gov/snp/rs189674641", "rs189674641")</f>
        <v>rs189674641</v>
      </c>
      <c r="M131" s="0" t="str">
        <f aca="false">HYPERLINK("https://www.genecards.org/Search/Keyword?queryString=%5Baliases%5D(%20TFCP2%20)&amp;keywords=TFCP2", "TFCP2")</f>
        <v>TFCP2</v>
      </c>
      <c r="N131" s="0" t="s">
        <v>63</v>
      </c>
      <c r="O131" s="0" t="s">
        <v>46</v>
      </c>
      <c r="P131" s="0" t="s">
        <v>46</v>
      </c>
      <c r="Q131" s="0" t="n">
        <v>0.0156</v>
      </c>
      <c r="R131" s="0" t="n">
        <v>0.0091</v>
      </c>
      <c r="S131" s="0" t="n">
        <v>0.0087</v>
      </c>
      <c r="T131" s="0" t="n">
        <v>-1</v>
      </c>
      <c r="U131" s="0" t="n">
        <v>0.0101</v>
      </c>
      <c r="V131" s="0" t="s">
        <v>46</v>
      </c>
      <c r="W131" s="0" t="s">
        <v>46</v>
      </c>
      <c r="X131" s="0" t="s">
        <v>49</v>
      </c>
      <c r="Y131" s="0" t="s">
        <v>64</v>
      </c>
      <c r="Z131" s="0" t="s">
        <v>46</v>
      </c>
      <c r="AA131" s="0" t="s">
        <v>46</v>
      </c>
      <c r="AB131" s="0" t="s">
        <v>46</v>
      </c>
      <c r="AC131" s="0" t="s">
        <v>52</v>
      </c>
      <c r="AD131" s="0" t="s">
        <v>53</v>
      </c>
      <c r="AE131" s="0" t="s">
        <v>970</v>
      </c>
      <c r="AF131" s="0" t="s">
        <v>971</v>
      </c>
      <c r="AG131" s="0" t="s">
        <v>972</v>
      </c>
      <c r="AH131" s="0" t="s">
        <v>46</v>
      </c>
      <c r="AI131" s="0" t="s">
        <v>46</v>
      </c>
      <c r="AJ131" s="0" t="s">
        <v>46</v>
      </c>
      <c r="AK131" s="0" t="s">
        <v>46</v>
      </c>
      <c r="AL131" s="0" t="s">
        <v>46</v>
      </c>
    </row>
    <row r="132" customFormat="false" ht="15" hidden="false" customHeight="false" outlineLevel="0" collapsed="false">
      <c r="B132" s="0" t="str">
        <f aca="false">HYPERLINK("https://genome.ucsc.edu/cgi-bin/hgTracks?db=hg19&amp;position=chr12%3A53708706%2D53708706", "chr12:53708706")</f>
        <v>chr12:53708706</v>
      </c>
      <c r="C132" s="0" t="s">
        <v>145</v>
      </c>
      <c r="D132" s="0" t="n">
        <v>53708706</v>
      </c>
      <c r="E132" s="0" t="n">
        <v>53708706</v>
      </c>
      <c r="F132" s="0" t="s">
        <v>72</v>
      </c>
      <c r="G132" s="0" t="s">
        <v>39</v>
      </c>
      <c r="H132" s="0" t="s">
        <v>973</v>
      </c>
      <c r="I132" s="0" t="s">
        <v>706</v>
      </c>
      <c r="J132" s="0" t="s">
        <v>974</v>
      </c>
      <c r="K132" s="0" t="s">
        <v>46</v>
      </c>
      <c r="L132" s="0" t="str">
        <f aca="false">HYPERLINK("https://www.ncbi.nlm.nih.gov/snp/rs147478141", "rs147478141")</f>
        <v>rs147478141</v>
      </c>
      <c r="M132" s="0" t="str">
        <f aca="false">HYPERLINK("https://www.genecards.org/Search/Keyword?queryString=%5Baliases%5D(%20AAAS%20)&amp;keywords=AAAS", "AAAS")</f>
        <v>AAAS</v>
      </c>
      <c r="N132" s="0" t="s">
        <v>63</v>
      </c>
      <c r="O132" s="0" t="s">
        <v>46</v>
      </c>
      <c r="P132" s="0" t="s">
        <v>46</v>
      </c>
      <c r="Q132" s="0" t="n">
        <v>0.0037</v>
      </c>
      <c r="R132" s="0" t="n">
        <v>0.0033</v>
      </c>
      <c r="S132" s="0" t="n">
        <v>0.0037</v>
      </c>
      <c r="T132" s="0" t="n">
        <v>-1</v>
      </c>
      <c r="U132" s="0" t="n">
        <v>0.0041</v>
      </c>
      <c r="V132" s="0" t="s">
        <v>46</v>
      </c>
      <c r="W132" s="0" t="s">
        <v>46</v>
      </c>
      <c r="X132" s="0" t="s">
        <v>385</v>
      </c>
      <c r="Y132" s="0" t="s">
        <v>64</v>
      </c>
      <c r="Z132" s="0" t="s">
        <v>46</v>
      </c>
      <c r="AA132" s="0" t="s">
        <v>46</v>
      </c>
      <c r="AB132" s="0" t="s">
        <v>46</v>
      </c>
      <c r="AC132" s="0" t="s">
        <v>52</v>
      </c>
      <c r="AD132" s="0" t="s">
        <v>53</v>
      </c>
      <c r="AE132" s="0" t="s">
        <v>975</v>
      </c>
      <c r="AF132" s="0" t="s">
        <v>976</v>
      </c>
      <c r="AG132" s="0" t="s">
        <v>977</v>
      </c>
      <c r="AH132" s="0" t="s">
        <v>46</v>
      </c>
      <c r="AI132" s="0" t="s">
        <v>46</v>
      </c>
      <c r="AJ132" s="0" t="s">
        <v>46</v>
      </c>
      <c r="AK132" s="0" t="s">
        <v>46</v>
      </c>
      <c r="AL132" s="0" t="s">
        <v>46</v>
      </c>
    </row>
    <row r="133" customFormat="false" ht="15" hidden="false" customHeight="false" outlineLevel="0" collapsed="false">
      <c r="B133" s="0" t="str">
        <f aca="false">HYPERLINK("https://genome.ucsc.edu/cgi-bin/hgTracks?db=hg19&amp;position=chr12%3A54943775%2D54943775", "chr12:54943775")</f>
        <v>chr12:54943775</v>
      </c>
      <c r="C133" s="0" t="s">
        <v>145</v>
      </c>
      <c r="D133" s="0" t="n">
        <v>54943775</v>
      </c>
      <c r="E133" s="0" t="n">
        <v>54943775</v>
      </c>
      <c r="F133" s="0" t="s">
        <v>39</v>
      </c>
      <c r="G133" s="0" t="s">
        <v>72</v>
      </c>
      <c r="H133" s="0" t="s">
        <v>363</v>
      </c>
      <c r="I133" s="0" t="s">
        <v>978</v>
      </c>
      <c r="J133" s="0" t="s">
        <v>979</v>
      </c>
      <c r="K133" s="0" t="s">
        <v>46</v>
      </c>
      <c r="L133" s="0" t="str">
        <f aca="false">HYPERLINK("https://www.ncbi.nlm.nih.gov/snp/rs117325458", "rs117325458")</f>
        <v>rs117325458</v>
      </c>
      <c r="M133" s="0" t="str">
        <f aca="false">HYPERLINK("https://www.genecards.org/Search/Keyword?queryString=%5Baliases%5D(%20PDE1B%20)&amp;keywords=PDE1B", "PDE1B")</f>
        <v>PDE1B</v>
      </c>
      <c r="N133" s="0" t="s">
        <v>63</v>
      </c>
      <c r="O133" s="0" t="s">
        <v>46</v>
      </c>
      <c r="P133" s="0" t="s">
        <v>46</v>
      </c>
      <c r="Q133" s="0" t="n">
        <v>0.0258</v>
      </c>
      <c r="R133" s="0" t="n">
        <v>0.02</v>
      </c>
      <c r="S133" s="0" t="n">
        <v>0.0231</v>
      </c>
      <c r="T133" s="0" t="n">
        <v>-1</v>
      </c>
      <c r="U133" s="0" t="n">
        <v>0.0168</v>
      </c>
      <c r="V133" s="0" t="s">
        <v>46</v>
      </c>
      <c r="W133" s="0" t="s">
        <v>49</v>
      </c>
      <c r="X133" s="0" t="s">
        <v>49</v>
      </c>
      <c r="Y133" s="0" t="s">
        <v>50</v>
      </c>
      <c r="Z133" s="0" t="s">
        <v>46</v>
      </c>
      <c r="AA133" s="0" t="s">
        <v>46</v>
      </c>
      <c r="AB133" s="0" t="s">
        <v>46</v>
      </c>
      <c r="AC133" s="0" t="s">
        <v>52</v>
      </c>
      <c r="AD133" s="0" t="s">
        <v>53</v>
      </c>
      <c r="AE133" s="0" t="s">
        <v>980</v>
      </c>
      <c r="AF133" s="0" t="s">
        <v>981</v>
      </c>
      <c r="AG133" s="0" t="s">
        <v>982</v>
      </c>
      <c r="AH133" s="0" t="s">
        <v>46</v>
      </c>
      <c r="AI133" s="0" t="s">
        <v>46</v>
      </c>
      <c r="AJ133" s="0" t="s">
        <v>46</v>
      </c>
      <c r="AK133" s="0" t="s">
        <v>46</v>
      </c>
      <c r="AL133" s="0" t="s">
        <v>46</v>
      </c>
    </row>
    <row r="134" s="2" customFormat="true" ht="15" hidden="false" customHeight="false" outlineLevel="0" collapsed="false">
      <c r="B134" s="2" t="str">
        <f aca="false">HYPERLINK("https://genome.ucsc.edu/cgi-bin/hgTracks?db=hg19&amp;position=chr12%3A58217738%2D58217741", "chr12:58217738")</f>
        <v>chr12:58217738</v>
      </c>
      <c r="C134" s="2" t="s">
        <v>145</v>
      </c>
      <c r="D134" s="2" t="n">
        <v>58217738</v>
      </c>
      <c r="E134" s="2" t="n">
        <v>58217741</v>
      </c>
      <c r="F134" s="2" t="s">
        <v>983</v>
      </c>
      <c r="G134" s="2" t="s">
        <v>312</v>
      </c>
      <c r="H134" s="2" t="s">
        <v>984</v>
      </c>
      <c r="I134" s="2" t="s">
        <v>985</v>
      </c>
      <c r="J134" s="2" t="s">
        <v>986</v>
      </c>
      <c r="K134" s="2" t="s">
        <v>46</v>
      </c>
      <c r="L134" s="2" t="s">
        <v>46</v>
      </c>
      <c r="M134" s="2" t="str">
        <f aca="false">HYPERLINK("https://www.genecards.org/Search/Keyword?queryString=%5Baliases%5D(%20CTDSP2%20)&amp;keywords=CTDSP2", "CTDSP2")</f>
        <v>CTDSP2</v>
      </c>
      <c r="N134" s="2" t="s">
        <v>77</v>
      </c>
      <c r="O134" s="2" t="s">
        <v>623</v>
      </c>
      <c r="P134" s="2" t="s">
        <v>987</v>
      </c>
      <c r="Q134" s="2" t="n">
        <v>-1</v>
      </c>
      <c r="R134" s="2" t="n">
        <v>-1</v>
      </c>
      <c r="S134" s="2" t="n">
        <v>-1</v>
      </c>
      <c r="T134" s="2" t="n">
        <v>-1</v>
      </c>
      <c r="U134" s="2" t="n">
        <v>-1</v>
      </c>
      <c r="V134" s="2" t="s">
        <v>46</v>
      </c>
      <c r="W134" s="2" t="s">
        <v>46</v>
      </c>
      <c r="X134" s="2" t="s">
        <v>46</v>
      </c>
      <c r="Y134" s="2" t="s">
        <v>46</v>
      </c>
      <c r="Z134" s="2" t="s">
        <v>46</v>
      </c>
      <c r="AA134" s="2" t="s">
        <v>46</v>
      </c>
      <c r="AB134" s="2" t="s">
        <v>46</v>
      </c>
      <c r="AC134" s="2" t="s">
        <v>52</v>
      </c>
      <c r="AD134" s="2" t="s">
        <v>94</v>
      </c>
      <c r="AE134" s="2" t="s">
        <v>457</v>
      </c>
      <c r="AF134" s="2" t="s">
        <v>458</v>
      </c>
      <c r="AG134" s="2" t="s">
        <v>459</v>
      </c>
      <c r="AH134" s="2" t="s">
        <v>46</v>
      </c>
      <c r="AI134" s="2" t="s">
        <v>46</v>
      </c>
      <c r="AJ134" s="2" t="s">
        <v>46</v>
      </c>
      <c r="AK134" s="2" t="s">
        <v>46</v>
      </c>
      <c r="AL134" s="2" t="s">
        <v>46</v>
      </c>
    </row>
    <row r="135" customFormat="false" ht="15" hidden="false" customHeight="false" outlineLevel="0" collapsed="false">
      <c r="B135" s="0" t="str">
        <f aca="false">HYPERLINK("https://genome.ucsc.edu/cgi-bin/hgTracks?db=hg19&amp;position=chr12%3A78452726%2D78452726", "chr12:78452726")</f>
        <v>chr12:78452726</v>
      </c>
      <c r="C135" s="0" t="s">
        <v>145</v>
      </c>
      <c r="D135" s="0" t="n">
        <v>78452726</v>
      </c>
      <c r="E135" s="0" t="n">
        <v>78452726</v>
      </c>
      <c r="F135" s="0" t="s">
        <v>40</v>
      </c>
      <c r="G135" s="0" t="s">
        <v>39</v>
      </c>
      <c r="H135" s="0" t="s">
        <v>988</v>
      </c>
      <c r="I135" s="0" t="s">
        <v>989</v>
      </c>
      <c r="J135" s="0" t="s">
        <v>990</v>
      </c>
      <c r="K135" s="0" t="s">
        <v>46</v>
      </c>
      <c r="L135" s="0" t="str">
        <f aca="false">HYPERLINK("https://www.ncbi.nlm.nih.gov/snp/rs375832605", "rs375832605")</f>
        <v>rs375832605</v>
      </c>
      <c r="M135" s="0" t="str">
        <f aca="false">HYPERLINK("https://www.genecards.org/Search/Keyword?queryString=%5Baliases%5D(%20NAV3%20)&amp;keywords=NAV3", "NAV3")</f>
        <v>NAV3</v>
      </c>
      <c r="N135" s="0" t="s">
        <v>366</v>
      </c>
      <c r="O135" s="0" t="s">
        <v>46</v>
      </c>
      <c r="P135" s="0" t="s">
        <v>46</v>
      </c>
      <c r="Q135" s="0" t="n">
        <v>0.0018</v>
      </c>
      <c r="R135" s="0" t="n">
        <v>0.001</v>
      </c>
      <c r="S135" s="0" t="n">
        <v>0.0007</v>
      </c>
      <c r="T135" s="0" t="n">
        <v>-1</v>
      </c>
      <c r="U135" s="0" t="n">
        <v>0.0016</v>
      </c>
      <c r="V135" s="0" t="s">
        <v>46</v>
      </c>
      <c r="W135" s="0" t="s">
        <v>46</v>
      </c>
      <c r="X135" s="0" t="s">
        <v>340</v>
      </c>
      <c r="Y135" s="0" t="s">
        <v>64</v>
      </c>
      <c r="Z135" s="0" t="s">
        <v>46</v>
      </c>
      <c r="AA135" s="0" t="s">
        <v>46</v>
      </c>
      <c r="AB135" s="0" t="s">
        <v>46</v>
      </c>
      <c r="AC135" s="0" t="s">
        <v>52</v>
      </c>
      <c r="AD135" s="0" t="s">
        <v>53</v>
      </c>
      <c r="AE135" s="0" t="s">
        <v>991</v>
      </c>
      <c r="AF135" s="0" t="s">
        <v>992</v>
      </c>
      <c r="AG135" s="0" t="s">
        <v>993</v>
      </c>
      <c r="AH135" s="0" t="s">
        <v>994</v>
      </c>
      <c r="AI135" s="0" t="s">
        <v>46</v>
      </c>
      <c r="AJ135" s="0" t="s">
        <v>46</v>
      </c>
      <c r="AK135" s="0" t="s">
        <v>46</v>
      </c>
      <c r="AL135" s="0" t="s">
        <v>46</v>
      </c>
    </row>
    <row r="136" customFormat="false" ht="15" hidden="false" customHeight="false" outlineLevel="0" collapsed="false">
      <c r="B136" s="0" t="str">
        <f aca="false">HYPERLINK("https://genome.ucsc.edu/cgi-bin/hgTracks?db=hg19&amp;position=chr12%3A102793910%2D102793910", "chr12:102793910")</f>
        <v>chr12:102793910</v>
      </c>
      <c r="C136" s="0" t="s">
        <v>145</v>
      </c>
      <c r="D136" s="0" t="n">
        <v>102793910</v>
      </c>
      <c r="E136" s="0" t="n">
        <v>102793910</v>
      </c>
      <c r="F136" s="0" t="s">
        <v>312</v>
      </c>
      <c r="G136" s="0" t="s">
        <v>39</v>
      </c>
      <c r="H136" s="0" t="s">
        <v>995</v>
      </c>
      <c r="I136" s="0" t="s">
        <v>454</v>
      </c>
      <c r="J136" s="0" t="s">
        <v>996</v>
      </c>
      <c r="K136" s="0" t="s">
        <v>46</v>
      </c>
      <c r="L136" s="0" t="s">
        <v>46</v>
      </c>
      <c r="M136" s="0" t="str">
        <f aca="false">HYPERLINK("https://www.genecards.org/Search/Keyword?queryString=%5Baliases%5D(%20IGF1%20)%20OR%20%5Baliases%5D(%20JX088243%20)&amp;keywords=IGF1,JX088243", "IGF1;JX088243")</f>
        <v>IGF1;JX088243</v>
      </c>
      <c r="N136" s="0" t="s">
        <v>997</v>
      </c>
      <c r="O136" s="0" t="s">
        <v>46</v>
      </c>
      <c r="P136" s="0" t="s">
        <v>998</v>
      </c>
      <c r="Q136" s="0" t="n">
        <v>-1</v>
      </c>
      <c r="R136" s="0" t="n">
        <v>-1</v>
      </c>
      <c r="S136" s="0" t="n">
        <v>-1</v>
      </c>
      <c r="T136" s="0" t="n">
        <v>-1</v>
      </c>
      <c r="U136" s="0" t="n">
        <v>-1</v>
      </c>
      <c r="V136" s="0" t="s">
        <v>46</v>
      </c>
      <c r="W136" s="0" t="s">
        <v>46</v>
      </c>
      <c r="X136" s="0" t="s">
        <v>46</v>
      </c>
      <c r="Y136" s="0" t="s">
        <v>46</v>
      </c>
      <c r="Z136" s="0" t="s">
        <v>46</v>
      </c>
      <c r="AA136" s="0" t="s">
        <v>46</v>
      </c>
      <c r="AB136" s="0" t="s">
        <v>46</v>
      </c>
      <c r="AC136" s="0" t="s">
        <v>319</v>
      </c>
      <c r="AD136" s="0" t="s">
        <v>182</v>
      </c>
      <c r="AE136" s="0" t="s">
        <v>999</v>
      </c>
      <c r="AF136" s="0" t="s">
        <v>1000</v>
      </c>
      <c r="AG136" s="0" t="s">
        <v>1001</v>
      </c>
      <c r="AH136" s="0" t="s">
        <v>1002</v>
      </c>
      <c r="AI136" s="0" t="s">
        <v>46</v>
      </c>
      <c r="AJ136" s="0" t="s">
        <v>46</v>
      </c>
      <c r="AK136" s="0" t="s">
        <v>46</v>
      </c>
      <c r="AL136" s="0" t="s">
        <v>46</v>
      </c>
    </row>
    <row r="137" customFormat="false" ht="15" hidden="false" customHeight="false" outlineLevel="0" collapsed="false">
      <c r="B137" s="0" t="str">
        <f aca="false">HYPERLINK("https://genome.ucsc.edu/cgi-bin/hgTracks?db=hg19&amp;position=chr12%3A121093630%2D121093637", "chr12:121093630")</f>
        <v>chr12:121093630</v>
      </c>
      <c r="C137" s="0" t="s">
        <v>145</v>
      </c>
      <c r="D137" s="0" t="n">
        <v>121093630</v>
      </c>
      <c r="E137" s="0" t="n">
        <v>121093637</v>
      </c>
      <c r="F137" s="0" t="s">
        <v>1003</v>
      </c>
      <c r="G137" s="0" t="s">
        <v>312</v>
      </c>
      <c r="H137" s="0" t="s">
        <v>1004</v>
      </c>
      <c r="I137" s="0" t="s">
        <v>1005</v>
      </c>
      <c r="J137" s="0" t="s">
        <v>1006</v>
      </c>
      <c r="K137" s="0" t="s">
        <v>46</v>
      </c>
      <c r="L137" s="0" t="str">
        <f aca="false">HYPERLINK("https://www.ncbi.nlm.nih.gov/snp/rs781641540", "rs781641540")</f>
        <v>rs781641540</v>
      </c>
      <c r="M137" s="0" t="str">
        <f aca="false">HYPERLINK("https://www.genecards.org/Search/Keyword?queryString=%5Baliases%5D(%20CABP1%20)&amp;keywords=CABP1", "CABP1")</f>
        <v>CABP1</v>
      </c>
      <c r="N137" s="0" t="s">
        <v>1007</v>
      </c>
      <c r="O137" s="0" t="s">
        <v>623</v>
      </c>
      <c r="P137" s="0" t="s">
        <v>1008</v>
      </c>
      <c r="Q137" s="0" t="n">
        <v>0.0037</v>
      </c>
      <c r="R137" s="0" t="n">
        <v>0.0003</v>
      </c>
      <c r="S137" s="0" t="n">
        <v>0.0002</v>
      </c>
      <c r="T137" s="0" t="n">
        <v>-1</v>
      </c>
      <c r="U137" s="0" t="n">
        <v>0.0004</v>
      </c>
      <c r="V137" s="0" t="s">
        <v>46</v>
      </c>
      <c r="W137" s="0" t="s">
        <v>46</v>
      </c>
      <c r="X137" s="0" t="s">
        <v>46</v>
      </c>
      <c r="Y137" s="0" t="s">
        <v>46</v>
      </c>
      <c r="Z137" s="0" t="s">
        <v>46</v>
      </c>
      <c r="AA137" s="0" t="s">
        <v>46</v>
      </c>
      <c r="AB137" s="0" t="s">
        <v>46</v>
      </c>
      <c r="AC137" s="0" t="s">
        <v>319</v>
      </c>
      <c r="AD137" s="0" t="s">
        <v>53</v>
      </c>
      <c r="AE137" s="0" t="s">
        <v>1009</v>
      </c>
      <c r="AF137" s="0" t="s">
        <v>1010</v>
      </c>
      <c r="AG137" s="0" t="s">
        <v>1011</v>
      </c>
      <c r="AH137" s="0" t="s">
        <v>46</v>
      </c>
      <c r="AI137" s="0" t="s">
        <v>46</v>
      </c>
      <c r="AJ137" s="0" t="s">
        <v>46</v>
      </c>
      <c r="AK137" s="0" t="s">
        <v>46</v>
      </c>
      <c r="AL137" s="0" t="s">
        <v>46</v>
      </c>
    </row>
    <row r="138" customFormat="false" ht="15" hidden="false" customHeight="false" outlineLevel="0" collapsed="false">
      <c r="B138" s="0" t="str">
        <f aca="false">HYPERLINK("https://genome.ucsc.edu/cgi-bin/hgTracks?db=hg19&amp;position=chr13%3A27649589%2D27649589", "chr13:27649589")</f>
        <v>chr13:27649589</v>
      </c>
      <c r="C138" s="0" t="s">
        <v>460</v>
      </c>
      <c r="D138" s="0" t="n">
        <v>27649589</v>
      </c>
      <c r="E138" s="0" t="n">
        <v>27649589</v>
      </c>
      <c r="F138" s="0" t="s">
        <v>72</v>
      </c>
      <c r="G138" s="0" t="s">
        <v>40</v>
      </c>
      <c r="H138" s="0" t="s">
        <v>1012</v>
      </c>
      <c r="I138" s="0" t="s">
        <v>470</v>
      </c>
      <c r="J138" s="0" t="s">
        <v>1013</v>
      </c>
      <c r="K138" s="0" t="s">
        <v>46</v>
      </c>
      <c r="L138" s="0" t="str">
        <f aca="false">HYPERLINK("https://www.ncbi.nlm.nih.gov/snp/rs183170666", "rs183170666")</f>
        <v>rs183170666</v>
      </c>
      <c r="M138" s="0" t="str">
        <f aca="false">HYPERLINK("https://www.genecards.org/Search/Keyword?queryString=%5Baliases%5D(%20USP12%20)&amp;keywords=USP12", "USP12")</f>
        <v>USP12</v>
      </c>
      <c r="N138" s="0" t="s">
        <v>63</v>
      </c>
      <c r="O138" s="0" t="s">
        <v>46</v>
      </c>
      <c r="P138" s="0" t="s">
        <v>46</v>
      </c>
      <c r="Q138" s="0" t="n">
        <v>0.0114693</v>
      </c>
      <c r="R138" s="0" t="n">
        <v>0.006</v>
      </c>
      <c r="S138" s="0" t="n">
        <v>0.0073</v>
      </c>
      <c r="T138" s="0" t="n">
        <v>-1</v>
      </c>
      <c r="U138" s="0" t="n">
        <v>0.0051</v>
      </c>
      <c r="V138" s="0" t="s">
        <v>46</v>
      </c>
      <c r="W138" s="0" t="s">
        <v>46</v>
      </c>
      <c r="X138" s="0" t="s">
        <v>49</v>
      </c>
      <c r="Y138" s="0" t="s">
        <v>64</v>
      </c>
      <c r="Z138" s="0" t="s">
        <v>46</v>
      </c>
      <c r="AA138" s="0" t="s">
        <v>46</v>
      </c>
      <c r="AB138" s="0" t="s">
        <v>46</v>
      </c>
      <c r="AC138" s="0" t="s">
        <v>52</v>
      </c>
      <c r="AD138" s="0" t="s">
        <v>53</v>
      </c>
      <c r="AE138" s="0" t="s">
        <v>1014</v>
      </c>
      <c r="AF138" s="0" t="s">
        <v>1015</v>
      </c>
      <c r="AG138" s="0" t="s">
        <v>1016</v>
      </c>
      <c r="AH138" s="0" t="s">
        <v>46</v>
      </c>
      <c r="AI138" s="0" t="s">
        <v>46</v>
      </c>
      <c r="AJ138" s="0" t="s">
        <v>46</v>
      </c>
      <c r="AK138" s="0" t="s">
        <v>46</v>
      </c>
      <c r="AL138" s="0" t="s">
        <v>46</v>
      </c>
    </row>
    <row r="139" customFormat="false" ht="15" hidden="false" customHeight="false" outlineLevel="0" collapsed="false">
      <c r="B139" s="0" t="str">
        <f aca="false">HYPERLINK("https://genome.ucsc.edu/cgi-bin/hgTracks?db=hg19&amp;position=chr13%3A27830165%2D27830165", "chr13:27830165")</f>
        <v>chr13:27830165</v>
      </c>
      <c r="C139" s="0" t="s">
        <v>460</v>
      </c>
      <c r="D139" s="0" t="n">
        <v>27830165</v>
      </c>
      <c r="E139" s="0" t="n">
        <v>27830165</v>
      </c>
      <c r="F139" s="0" t="s">
        <v>39</v>
      </c>
      <c r="G139" s="0" t="s">
        <v>58</v>
      </c>
      <c r="H139" s="0" t="s">
        <v>1017</v>
      </c>
      <c r="I139" s="0" t="s">
        <v>621</v>
      </c>
      <c r="J139" s="0" t="s">
        <v>1018</v>
      </c>
      <c r="K139" s="0" t="s">
        <v>46</v>
      </c>
      <c r="L139" s="0" t="str">
        <f aca="false">HYPERLINK("https://www.ncbi.nlm.nih.gov/snp/rs186750470", "rs186750470")</f>
        <v>rs186750470</v>
      </c>
      <c r="M139" s="0" t="str">
        <f aca="false">HYPERLINK("https://www.genecards.org/Search/Keyword?queryString=%5Baliases%5D(%20RPL21%20)&amp;keywords=RPL21", "RPL21")</f>
        <v>RPL21</v>
      </c>
      <c r="N139" s="0" t="s">
        <v>63</v>
      </c>
      <c r="O139" s="0" t="s">
        <v>46</v>
      </c>
      <c r="P139" s="0" t="s">
        <v>46</v>
      </c>
      <c r="Q139" s="0" t="n">
        <v>0.0160537</v>
      </c>
      <c r="R139" s="0" t="n">
        <v>0.0099</v>
      </c>
      <c r="S139" s="0" t="n">
        <v>0.009</v>
      </c>
      <c r="T139" s="0" t="n">
        <v>-1</v>
      </c>
      <c r="U139" s="0" t="n">
        <v>0.0081</v>
      </c>
      <c r="V139" s="0" t="s">
        <v>46</v>
      </c>
      <c r="W139" s="0" t="s">
        <v>46</v>
      </c>
      <c r="X139" s="0" t="s">
        <v>49</v>
      </c>
      <c r="Y139" s="0" t="s">
        <v>64</v>
      </c>
      <c r="Z139" s="0" t="s">
        <v>46</v>
      </c>
      <c r="AA139" s="0" t="s">
        <v>46</v>
      </c>
      <c r="AB139" s="0" t="s">
        <v>46</v>
      </c>
      <c r="AC139" s="0" t="s">
        <v>52</v>
      </c>
      <c r="AD139" s="0" t="s">
        <v>53</v>
      </c>
      <c r="AE139" s="0" t="s">
        <v>1019</v>
      </c>
      <c r="AF139" s="0" t="s">
        <v>1020</v>
      </c>
      <c r="AG139" s="0" t="s">
        <v>46</v>
      </c>
      <c r="AH139" s="0" t="s">
        <v>1021</v>
      </c>
      <c r="AI139" s="0" t="s">
        <v>46</v>
      </c>
      <c r="AJ139" s="0" t="s">
        <v>46</v>
      </c>
      <c r="AK139" s="0" t="s">
        <v>46</v>
      </c>
      <c r="AL139" s="0" t="s">
        <v>46</v>
      </c>
    </row>
    <row r="140" customFormat="false" ht="15" hidden="false" customHeight="false" outlineLevel="0" collapsed="false">
      <c r="B140" s="0" t="str">
        <f aca="false">HYPERLINK("https://genome.ucsc.edu/cgi-bin/hgTracks?db=hg19&amp;position=chr14%3A31762545%2D31762545", "chr14:31762545")</f>
        <v>chr14:31762545</v>
      </c>
      <c r="C140" s="0" t="s">
        <v>1022</v>
      </c>
      <c r="D140" s="0" t="n">
        <v>31762545</v>
      </c>
      <c r="E140" s="0" t="n">
        <v>31762545</v>
      </c>
      <c r="F140" s="0" t="s">
        <v>39</v>
      </c>
      <c r="G140" s="0" t="s">
        <v>312</v>
      </c>
      <c r="H140" s="0" t="s">
        <v>1023</v>
      </c>
      <c r="I140" s="0" t="s">
        <v>1024</v>
      </c>
      <c r="J140" s="0" t="s">
        <v>1025</v>
      </c>
      <c r="K140" s="0" t="s">
        <v>46</v>
      </c>
      <c r="L140" s="0" t="str">
        <f aca="false">HYPERLINK("https://www.ncbi.nlm.nih.gov/snp/rs780535466", "rs780535466")</f>
        <v>rs780535466</v>
      </c>
      <c r="M140" s="0" t="str">
        <f aca="false">HYPERLINK("https://www.genecards.org/Search/Keyword?queryString=%5Baliases%5D(%20HEATR5A%20)&amp;keywords=HEATR5A", "HEATR5A")</f>
        <v>HEATR5A</v>
      </c>
      <c r="N140" s="0" t="s">
        <v>77</v>
      </c>
      <c r="O140" s="0" t="s">
        <v>623</v>
      </c>
      <c r="P140" s="0" t="s">
        <v>1026</v>
      </c>
      <c r="Q140" s="0" t="n">
        <v>0.0014</v>
      </c>
      <c r="R140" s="0" t="n">
        <v>0.0007</v>
      </c>
      <c r="S140" s="0" t="n">
        <v>0.0006</v>
      </c>
      <c r="T140" s="0" t="n">
        <v>-1</v>
      </c>
      <c r="U140" s="0" t="n">
        <v>0.0015</v>
      </c>
      <c r="V140" s="0" t="s">
        <v>46</v>
      </c>
      <c r="W140" s="0" t="s">
        <v>46</v>
      </c>
      <c r="X140" s="0" t="s">
        <v>46</v>
      </c>
      <c r="Y140" s="0" t="s">
        <v>46</v>
      </c>
      <c r="Z140" s="0" t="s">
        <v>46</v>
      </c>
      <c r="AA140" s="0" t="s">
        <v>46</v>
      </c>
      <c r="AB140" s="0" t="s">
        <v>46</v>
      </c>
      <c r="AC140" s="0" t="s">
        <v>52</v>
      </c>
      <c r="AD140" s="0" t="s">
        <v>53</v>
      </c>
      <c r="AE140" s="0" t="s">
        <v>46</v>
      </c>
      <c r="AF140" s="0" t="s">
        <v>1027</v>
      </c>
      <c r="AG140" s="0" t="s">
        <v>46</v>
      </c>
      <c r="AH140" s="0" t="s">
        <v>46</v>
      </c>
      <c r="AI140" s="0" t="s">
        <v>46</v>
      </c>
      <c r="AJ140" s="0" t="s">
        <v>46</v>
      </c>
      <c r="AK140" s="0" t="s">
        <v>46</v>
      </c>
      <c r="AL140" s="0" t="s">
        <v>46</v>
      </c>
    </row>
    <row r="141" customFormat="false" ht="15" hidden="false" customHeight="false" outlineLevel="0" collapsed="false">
      <c r="B141" s="0" t="str">
        <f aca="false">HYPERLINK("https://genome.ucsc.edu/cgi-bin/hgTracks?db=hg19&amp;position=chr14%3A64908328%2D64908328", "chr14:64908328")</f>
        <v>chr14:64908328</v>
      </c>
      <c r="C141" s="0" t="s">
        <v>1022</v>
      </c>
      <c r="D141" s="0" t="n">
        <v>64908328</v>
      </c>
      <c r="E141" s="0" t="n">
        <v>64908328</v>
      </c>
      <c r="F141" s="0" t="s">
        <v>39</v>
      </c>
      <c r="G141" s="0" t="s">
        <v>58</v>
      </c>
      <c r="H141" s="0" t="s">
        <v>1028</v>
      </c>
      <c r="I141" s="0" t="s">
        <v>666</v>
      </c>
      <c r="J141" s="0" t="s">
        <v>667</v>
      </c>
      <c r="K141" s="0" t="s">
        <v>46</v>
      </c>
      <c r="L141" s="0" t="str">
        <f aca="false">HYPERLINK("https://www.ncbi.nlm.nih.gov/snp/rs183617712", "rs183617712")</f>
        <v>rs183617712</v>
      </c>
      <c r="M141" s="0" t="str">
        <f aca="false">HYPERLINK("https://www.genecards.org/Search/Keyword?queryString=%5Baliases%5D(%20MTHFD1%20)&amp;keywords=MTHFD1", "MTHFD1")</f>
        <v>MTHFD1</v>
      </c>
      <c r="N141" s="0" t="s">
        <v>609</v>
      </c>
      <c r="O141" s="0" t="s">
        <v>46</v>
      </c>
      <c r="P141" s="0" t="s">
        <v>46</v>
      </c>
      <c r="Q141" s="0" t="n">
        <v>0.0124</v>
      </c>
      <c r="R141" s="0" t="n">
        <v>0.0128</v>
      </c>
      <c r="S141" s="0" t="n">
        <v>0.0124</v>
      </c>
      <c r="T141" s="0" t="n">
        <v>-1</v>
      </c>
      <c r="U141" s="0" t="n">
        <v>0.0135</v>
      </c>
      <c r="V141" s="0" t="s">
        <v>46</v>
      </c>
      <c r="W141" s="0" t="s">
        <v>46</v>
      </c>
      <c r="X141" s="0" t="s">
        <v>46</v>
      </c>
      <c r="Y141" s="0" t="s">
        <v>46</v>
      </c>
      <c r="Z141" s="0" t="s">
        <v>46</v>
      </c>
      <c r="AA141" s="0" t="s">
        <v>46</v>
      </c>
      <c r="AB141" s="0" t="s">
        <v>46</v>
      </c>
      <c r="AC141" s="0" t="s">
        <v>52</v>
      </c>
      <c r="AD141" s="0" t="s">
        <v>870</v>
      </c>
      <c r="AE141" s="0" t="s">
        <v>1029</v>
      </c>
      <c r="AF141" s="0" t="s">
        <v>1030</v>
      </c>
      <c r="AG141" s="0" t="s">
        <v>46</v>
      </c>
      <c r="AH141" s="0" t="s">
        <v>1031</v>
      </c>
      <c r="AI141" s="0" t="s">
        <v>46</v>
      </c>
      <c r="AJ141" s="0" t="s">
        <v>46</v>
      </c>
      <c r="AK141" s="0" t="s">
        <v>46</v>
      </c>
      <c r="AL141" s="0" t="s">
        <v>46</v>
      </c>
    </row>
    <row r="142" customFormat="false" ht="15" hidden="false" customHeight="false" outlineLevel="0" collapsed="false">
      <c r="B142" s="0" t="str">
        <f aca="false">HYPERLINK("https://genome.ucsc.edu/cgi-bin/hgTracks?db=hg19&amp;position=chr14%3A64908330%2D64908330", "chr14:64908330")</f>
        <v>chr14:64908330</v>
      </c>
      <c r="C142" s="0" t="s">
        <v>1022</v>
      </c>
      <c r="D142" s="0" t="n">
        <v>64908330</v>
      </c>
      <c r="E142" s="0" t="n">
        <v>64908330</v>
      </c>
      <c r="F142" s="0" t="s">
        <v>40</v>
      </c>
      <c r="G142" s="0" t="s">
        <v>58</v>
      </c>
      <c r="H142" s="0" t="s">
        <v>1028</v>
      </c>
      <c r="I142" s="0" t="s">
        <v>666</v>
      </c>
      <c r="J142" s="0" t="s">
        <v>667</v>
      </c>
      <c r="K142" s="0" t="s">
        <v>46</v>
      </c>
      <c r="L142" s="0" t="str">
        <f aca="false">HYPERLINK("https://www.ncbi.nlm.nih.gov/snp/rs562455828", "rs562455828")</f>
        <v>rs562455828</v>
      </c>
      <c r="M142" s="0" t="str">
        <f aca="false">HYPERLINK("https://www.genecards.org/Search/Keyword?queryString=%5Baliases%5D(%20MTHFD1%20)&amp;keywords=MTHFD1", "MTHFD1")</f>
        <v>MTHFD1</v>
      </c>
      <c r="N142" s="0" t="s">
        <v>609</v>
      </c>
      <c r="O142" s="0" t="s">
        <v>46</v>
      </c>
      <c r="P142" s="0" t="s">
        <v>46</v>
      </c>
      <c r="Q142" s="0" t="n">
        <v>0.0121</v>
      </c>
      <c r="R142" s="0" t="n">
        <v>0.0127</v>
      </c>
      <c r="S142" s="0" t="n">
        <v>0.0124</v>
      </c>
      <c r="T142" s="0" t="n">
        <v>-1</v>
      </c>
      <c r="U142" s="0" t="n">
        <v>0.0135</v>
      </c>
      <c r="V142" s="0" t="s">
        <v>46</v>
      </c>
      <c r="W142" s="0" t="s">
        <v>46</v>
      </c>
      <c r="X142" s="0" t="s">
        <v>46</v>
      </c>
      <c r="Y142" s="0" t="s">
        <v>46</v>
      </c>
      <c r="Z142" s="0" t="s">
        <v>46</v>
      </c>
      <c r="AA142" s="0" t="s">
        <v>46</v>
      </c>
      <c r="AB142" s="0" t="s">
        <v>46</v>
      </c>
      <c r="AC142" s="0" t="s">
        <v>52</v>
      </c>
      <c r="AD142" s="0" t="s">
        <v>870</v>
      </c>
      <c r="AE142" s="0" t="s">
        <v>1029</v>
      </c>
      <c r="AF142" s="0" t="s">
        <v>1030</v>
      </c>
      <c r="AG142" s="0" t="s">
        <v>46</v>
      </c>
      <c r="AH142" s="0" t="s">
        <v>1031</v>
      </c>
      <c r="AI142" s="0" t="s">
        <v>46</v>
      </c>
      <c r="AJ142" s="0" t="s">
        <v>46</v>
      </c>
      <c r="AK142" s="0" t="s">
        <v>46</v>
      </c>
      <c r="AL142" s="0" t="s">
        <v>46</v>
      </c>
    </row>
    <row r="143" customFormat="false" ht="15" hidden="false" customHeight="false" outlineLevel="0" collapsed="false">
      <c r="B143" s="0" t="str">
        <f aca="false">HYPERLINK("https://genome.ucsc.edu/cgi-bin/hgTracks?db=hg19&amp;position=chr14%3A64908335%2D64908335", "chr14:64908335")</f>
        <v>chr14:64908335</v>
      </c>
      <c r="C143" s="0" t="s">
        <v>1022</v>
      </c>
      <c r="D143" s="0" t="n">
        <v>64908335</v>
      </c>
      <c r="E143" s="0" t="n">
        <v>64908335</v>
      </c>
      <c r="F143" s="0" t="s">
        <v>39</v>
      </c>
      <c r="G143" s="0" t="s">
        <v>40</v>
      </c>
      <c r="H143" s="0" t="s">
        <v>634</v>
      </c>
      <c r="I143" s="0" t="s">
        <v>346</v>
      </c>
      <c r="J143" s="0" t="s">
        <v>347</v>
      </c>
      <c r="K143" s="0" t="s">
        <v>46</v>
      </c>
      <c r="L143" s="0" t="str">
        <f aca="false">HYPERLINK("https://www.ncbi.nlm.nih.gov/snp/rs189629052", "rs189629052")</f>
        <v>rs189629052</v>
      </c>
      <c r="M143" s="0" t="str">
        <f aca="false">HYPERLINK("https://www.genecards.org/Search/Keyword?queryString=%5Baliases%5D(%20MTHFD1%20)&amp;keywords=MTHFD1", "MTHFD1")</f>
        <v>MTHFD1</v>
      </c>
      <c r="N143" s="0" t="s">
        <v>609</v>
      </c>
      <c r="O143" s="0" t="s">
        <v>46</v>
      </c>
      <c r="P143" s="0" t="s">
        <v>46</v>
      </c>
      <c r="Q143" s="0" t="n">
        <v>0.012397</v>
      </c>
      <c r="R143" s="0" t="n">
        <v>0.0128</v>
      </c>
      <c r="S143" s="0" t="n">
        <v>0.0125</v>
      </c>
      <c r="T143" s="0" t="n">
        <v>-1</v>
      </c>
      <c r="U143" s="0" t="n">
        <v>0.0137</v>
      </c>
      <c r="V143" s="0" t="s">
        <v>46</v>
      </c>
      <c r="W143" s="0" t="s">
        <v>46</v>
      </c>
      <c r="X143" s="0" t="s">
        <v>46</v>
      </c>
      <c r="Y143" s="0" t="s">
        <v>46</v>
      </c>
      <c r="Z143" s="0" t="s">
        <v>46</v>
      </c>
      <c r="AA143" s="0" t="s">
        <v>46</v>
      </c>
      <c r="AB143" s="0" t="s">
        <v>46</v>
      </c>
      <c r="AC143" s="0" t="s">
        <v>52</v>
      </c>
      <c r="AD143" s="0" t="s">
        <v>870</v>
      </c>
      <c r="AE143" s="0" t="s">
        <v>1029</v>
      </c>
      <c r="AF143" s="0" t="s">
        <v>1030</v>
      </c>
      <c r="AG143" s="0" t="s">
        <v>46</v>
      </c>
      <c r="AH143" s="0" t="s">
        <v>1031</v>
      </c>
      <c r="AI143" s="0" t="s">
        <v>46</v>
      </c>
      <c r="AJ143" s="0" t="s">
        <v>46</v>
      </c>
      <c r="AK143" s="0" t="s">
        <v>46</v>
      </c>
      <c r="AL143" s="0" t="s">
        <v>46</v>
      </c>
    </row>
    <row r="144" customFormat="false" ht="15" hidden="false" customHeight="false" outlineLevel="0" collapsed="false">
      <c r="B144" s="0" t="str">
        <f aca="false">HYPERLINK("https://genome.ucsc.edu/cgi-bin/hgTracks?db=hg19&amp;position=chr14%3A81574687%2D81574687", "chr14:81574687")</f>
        <v>chr14:81574687</v>
      </c>
      <c r="C144" s="0" t="s">
        <v>1022</v>
      </c>
      <c r="D144" s="0" t="n">
        <v>81574687</v>
      </c>
      <c r="E144" s="0" t="n">
        <v>81574687</v>
      </c>
      <c r="F144" s="0" t="s">
        <v>312</v>
      </c>
      <c r="G144" s="0" t="s">
        <v>1032</v>
      </c>
      <c r="H144" s="0" t="s">
        <v>1033</v>
      </c>
      <c r="I144" s="0" t="s">
        <v>523</v>
      </c>
      <c r="J144" s="0" t="s">
        <v>1034</v>
      </c>
      <c r="K144" s="0" t="s">
        <v>46</v>
      </c>
      <c r="L144" s="0" t="s">
        <v>46</v>
      </c>
      <c r="M144" s="0" t="str">
        <f aca="false">HYPERLINK("https://www.genecards.org/Search/Keyword?queryString=%5Baliases%5D(%20TSHR%20)&amp;keywords=TSHR", "TSHR")</f>
        <v>TSHR</v>
      </c>
      <c r="N144" s="0" t="s">
        <v>366</v>
      </c>
      <c r="O144" s="0" t="s">
        <v>46</v>
      </c>
      <c r="P144" s="0" t="s">
        <v>46</v>
      </c>
      <c r="Q144" s="0" t="n">
        <v>0.0123</v>
      </c>
      <c r="R144" s="0" t="n">
        <v>0.0027</v>
      </c>
      <c r="S144" s="0" t="n">
        <v>0.0019</v>
      </c>
      <c r="T144" s="0" t="n">
        <v>-1</v>
      </c>
      <c r="U144" s="0" t="n">
        <v>0.0046</v>
      </c>
      <c r="V144" s="0" t="s">
        <v>46</v>
      </c>
      <c r="W144" s="0" t="s">
        <v>46</v>
      </c>
      <c r="X144" s="0" t="s">
        <v>46</v>
      </c>
      <c r="Y144" s="0" t="s">
        <v>46</v>
      </c>
      <c r="Z144" s="0" t="s">
        <v>46</v>
      </c>
      <c r="AA144" s="0" t="s">
        <v>46</v>
      </c>
      <c r="AB144" s="0" t="s">
        <v>46</v>
      </c>
      <c r="AC144" s="0" t="s">
        <v>319</v>
      </c>
      <c r="AD144" s="0" t="s">
        <v>53</v>
      </c>
      <c r="AE144" s="0" t="s">
        <v>1035</v>
      </c>
      <c r="AF144" s="0" t="s">
        <v>1036</v>
      </c>
      <c r="AG144" s="0" t="s">
        <v>1037</v>
      </c>
      <c r="AH144" s="0" t="s">
        <v>1038</v>
      </c>
      <c r="AI144" s="0" t="s">
        <v>46</v>
      </c>
      <c r="AJ144" s="0" t="s">
        <v>46</v>
      </c>
      <c r="AK144" s="0" t="s">
        <v>46</v>
      </c>
      <c r="AL144" s="0" t="s">
        <v>46</v>
      </c>
    </row>
    <row r="145" customFormat="false" ht="15" hidden="false" customHeight="false" outlineLevel="0" collapsed="false">
      <c r="B145" s="0" t="str">
        <f aca="false">HYPERLINK("https://genome.ucsc.edu/cgi-bin/hgTracks?db=hg19&amp;position=chr14%3A102825633%2D102825633", "chr14:102825633")</f>
        <v>chr14:102825633</v>
      </c>
      <c r="C145" s="0" t="s">
        <v>1022</v>
      </c>
      <c r="D145" s="0" t="n">
        <v>102825633</v>
      </c>
      <c r="E145" s="0" t="n">
        <v>102825633</v>
      </c>
      <c r="F145" s="0" t="s">
        <v>39</v>
      </c>
      <c r="G145" s="0" t="s">
        <v>40</v>
      </c>
      <c r="H145" s="0" t="s">
        <v>1039</v>
      </c>
      <c r="I145" s="0" t="s">
        <v>796</v>
      </c>
      <c r="J145" s="0" t="s">
        <v>1040</v>
      </c>
      <c r="K145" s="0" t="s">
        <v>46</v>
      </c>
      <c r="L145" s="0" t="str">
        <f aca="false">HYPERLINK("https://www.ncbi.nlm.nih.gov/snp/rs1033237415", "rs1033237415")</f>
        <v>rs1033237415</v>
      </c>
      <c r="M145" s="0" t="str">
        <f aca="false">HYPERLINK("https://www.genecards.org/Search/Keyword?queryString=%5Baliases%5D(%20CINP%20)&amp;keywords=CINP", "CINP")</f>
        <v>CINP</v>
      </c>
      <c r="N145" s="0" t="s">
        <v>63</v>
      </c>
      <c r="O145" s="0" t="s">
        <v>46</v>
      </c>
      <c r="P145" s="0" t="s">
        <v>46</v>
      </c>
      <c r="Q145" s="0" t="n">
        <v>8.114E-005</v>
      </c>
      <c r="R145" s="0" t="n">
        <v>9.66E-005</v>
      </c>
      <c r="S145" s="0" t="n">
        <v>7.744E-005</v>
      </c>
      <c r="T145" s="0" t="n">
        <v>-1</v>
      </c>
      <c r="U145" s="0" t="n">
        <v>0.0002</v>
      </c>
      <c r="V145" s="0" t="s">
        <v>46</v>
      </c>
      <c r="W145" s="0" t="s">
        <v>46</v>
      </c>
      <c r="X145" s="0" t="s">
        <v>49</v>
      </c>
      <c r="Y145" s="0" t="s">
        <v>64</v>
      </c>
      <c r="Z145" s="0" t="s">
        <v>46</v>
      </c>
      <c r="AA145" s="0" t="s">
        <v>46</v>
      </c>
      <c r="AB145" s="0" t="s">
        <v>46</v>
      </c>
      <c r="AC145" s="0" t="s">
        <v>52</v>
      </c>
      <c r="AD145" s="0" t="s">
        <v>53</v>
      </c>
      <c r="AE145" s="0" t="s">
        <v>1041</v>
      </c>
      <c r="AF145" s="0" t="s">
        <v>1042</v>
      </c>
      <c r="AG145" s="0" t="s">
        <v>1043</v>
      </c>
      <c r="AH145" s="0" t="s">
        <v>46</v>
      </c>
      <c r="AI145" s="0" t="s">
        <v>46</v>
      </c>
      <c r="AJ145" s="0" t="s">
        <v>46</v>
      </c>
      <c r="AK145" s="0" t="s">
        <v>46</v>
      </c>
      <c r="AL145" s="0" t="s">
        <v>46</v>
      </c>
    </row>
    <row r="146" customFormat="false" ht="15" hidden="false" customHeight="false" outlineLevel="0" collapsed="false">
      <c r="B146" s="0" t="str">
        <f aca="false">HYPERLINK("https://genome.ucsc.edu/cgi-bin/hgTracks?db=hg19&amp;position=chr15%3A31521507%2D31521507", "chr15:31521507")</f>
        <v>chr15:31521507</v>
      </c>
      <c r="C146" s="0" t="s">
        <v>362</v>
      </c>
      <c r="D146" s="0" t="n">
        <v>31521507</v>
      </c>
      <c r="E146" s="0" t="n">
        <v>31521507</v>
      </c>
      <c r="F146" s="0" t="s">
        <v>58</v>
      </c>
      <c r="G146" s="0" t="s">
        <v>312</v>
      </c>
      <c r="H146" s="0" t="s">
        <v>1044</v>
      </c>
      <c r="I146" s="0" t="s">
        <v>807</v>
      </c>
      <c r="J146" s="0" t="s">
        <v>1045</v>
      </c>
      <c r="K146" s="0" t="s">
        <v>46</v>
      </c>
      <c r="L146" s="0" t="s">
        <v>46</v>
      </c>
      <c r="M146" s="0" t="str">
        <f aca="false">HYPERLINK("https://www.genecards.org/Search/Keyword?queryString=%5Baliases%5D(%20LOC283710%20)&amp;keywords=LOC283710", "LOC283710")</f>
        <v>LOC283710</v>
      </c>
      <c r="N146" s="0" t="s">
        <v>546</v>
      </c>
      <c r="O146" s="0" t="s">
        <v>623</v>
      </c>
      <c r="P146" s="0" t="s">
        <v>1046</v>
      </c>
      <c r="Q146" s="0" t="n">
        <v>-1</v>
      </c>
      <c r="R146" s="0" t="n">
        <v>-1</v>
      </c>
      <c r="S146" s="0" t="n">
        <v>-1</v>
      </c>
      <c r="T146" s="0" t="n">
        <v>-1</v>
      </c>
      <c r="U146" s="0" t="n">
        <v>-1</v>
      </c>
      <c r="V146" s="0" t="s">
        <v>46</v>
      </c>
      <c r="W146" s="0" t="s">
        <v>46</v>
      </c>
      <c r="X146" s="0" t="s">
        <v>46</v>
      </c>
      <c r="Y146" s="0" t="s">
        <v>46</v>
      </c>
      <c r="Z146" s="0" t="s">
        <v>46</v>
      </c>
      <c r="AA146" s="0" t="s">
        <v>46</v>
      </c>
      <c r="AB146" s="0" t="s">
        <v>46</v>
      </c>
      <c r="AC146" s="0" t="s">
        <v>319</v>
      </c>
      <c r="AD146" s="0" t="s">
        <v>53</v>
      </c>
      <c r="AE146" s="0" t="s">
        <v>46</v>
      </c>
      <c r="AF146" s="0" t="s">
        <v>46</v>
      </c>
      <c r="AG146" s="0" t="s">
        <v>46</v>
      </c>
      <c r="AH146" s="0" t="s">
        <v>46</v>
      </c>
      <c r="AI146" s="0" t="s">
        <v>46</v>
      </c>
      <c r="AJ146" s="0" t="s">
        <v>46</v>
      </c>
      <c r="AK146" s="0" t="s">
        <v>46</v>
      </c>
      <c r="AL146" s="0" t="s">
        <v>46</v>
      </c>
    </row>
    <row r="147" customFormat="false" ht="15" hidden="false" customHeight="false" outlineLevel="0" collapsed="false">
      <c r="B147" s="0" t="str">
        <f aca="false">HYPERLINK("https://genome.ucsc.edu/cgi-bin/hgTracks?db=hg19&amp;position=chr15%3A41862801%2D41862801", "chr15:41862801")</f>
        <v>chr15:41862801</v>
      </c>
      <c r="C147" s="0" t="s">
        <v>362</v>
      </c>
      <c r="D147" s="0" t="n">
        <v>41862801</v>
      </c>
      <c r="E147" s="0" t="n">
        <v>41862801</v>
      </c>
      <c r="F147" s="0" t="s">
        <v>58</v>
      </c>
      <c r="G147" s="0" t="s">
        <v>39</v>
      </c>
      <c r="H147" s="0" t="s">
        <v>1047</v>
      </c>
      <c r="I147" s="0" t="s">
        <v>1048</v>
      </c>
      <c r="J147" s="0" t="s">
        <v>1049</v>
      </c>
      <c r="K147" s="0" t="s">
        <v>46</v>
      </c>
      <c r="L147" s="0" t="str">
        <f aca="false">HYPERLINK("https://www.ncbi.nlm.nih.gov/snp/rs200684350", "rs200684350")</f>
        <v>rs200684350</v>
      </c>
      <c r="M147" s="0" t="str">
        <f aca="false">HYPERLINK("https://www.genecards.org/Search/Keyword?queryString=%5Baliases%5D(%20TYRO3%20)&amp;keywords=TYRO3", "TYRO3")</f>
        <v>TYRO3</v>
      </c>
      <c r="N147" s="0" t="s">
        <v>45</v>
      </c>
      <c r="O147" s="0" t="s">
        <v>46</v>
      </c>
      <c r="P147" s="0" t="s">
        <v>1050</v>
      </c>
      <c r="Q147" s="0" t="n">
        <v>0.025452</v>
      </c>
      <c r="R147" s="0" t="n">
        <v>-1</v>
      </c>
      <c r="S147" s="0" t="n">
        <v>-1</v>
      </c>
      <c r="T147" s="0" t="n">
        <v>-1</v>
      </c>
      <c r="U147" s="0" t="n">
        <v>-1</v>
      </c>
      <c r="V147" s="0" t="s">
        <v>48</v>
      </c>
      <c r="W147" s="0" t="s">
        <v>49</v>
      </c>
      <c r="X147" s="0" t="s">
        <v>49</v>
      </c>
      <c r="Y147" s="0" t="s">
        <v>50</v>
      </c>
      <c r="Z147" s="0" t="s">
        <v>92</v>
      </c>
      <c r="AA147" s="0" t="s">
        <v>46</v>
      </c>
      <c r="AB147" s="0" t="s">
        <v>46</v>
      </c>
      <c r="AC147" s="0" t="s">
        <v>52</v>
      </c>
      <c r="AD147" s="0" t="s">
        <v>53</v>
      </c>
      <c r="AE147" s="0" t="s">
        <v>1051</v>
      </c>
      <c r="AF147" s="0" t="s">
        <v>1052</v>
      </c>
      <c r="AG147" s="0" t="s">
        <v>1053</v>
      </c>
      <c r="AH147" s="0" t="s">
        <v>46</v>
      </c>
      <c r="AI147" s="0" t="s">
        <v>46</v>
      </c>
      <c r="AJ147" s="0" t="s">
        <v>46</v>
      </c>
      <c r="AK147" s="0" t="s">
        <v>46</v>
      </c>
      <c r="AL147" s="0" t="s">
        <v>46</v>
      </c>
    </row>
    <row r="148" customFormat="false" ht="15" hidden="false" customHeight="false" outlineLevel="0" collapsed="false">
      <c r="B148" s="0" t="str">
        <f aca="false">HYPERLINK("https://genome.ucsc.edu/cgi-bin/hgTracks?db=hg19&amp;position=chr15%3A51745916%2D51745916", "chr15:51745916")</f>
        <v>chr15:51745916</v>
      </c>
      <c r="C148" s="0" t="s">
        <v>362</v>
      </c>
      <c r="D148" s="0" t="n">
        <v>51745916</v>
      </c>
      <c r="E148" s="0" t="n">
        <v>51745916</v>
      </c>
      <c r="F148" s="0" t="s">
        <v>72</v>
      </c>
      <c r="G148" s="0" t="s">
        <v>40</v>
      </c>
      <c r="H148" s="0" t="s">
        <v>1054</v>
      </c>
      <c r="I148" s="0" t="s">
        <v>1055</v>
      </c>
      <c r="J148" s="0" t="s">
        <v>1056</v>
      </c>
      <c r="K148" s="0" t="s">
        <v>46</v>
      </c>
      <c r="L148" s="0" t="str">
        <f aca="false">HYPERLINK("https://www.ncbi.nlm.nih.gov/snp/rs72729254", "rs72729254")</f>
        <v>rs72729254</v>
      </c>
      <c r="M148" s="0" t="str">
        <f aca="false">HYPERLINK("https://www.genecards.org/Search/Keyword?queryString=%5Baliases%5D(%20DMXL2%20)&amp;keywords=DMXL2", "DMXL2")</f>
        <v>DMXL2</v>
      </c>
      <c r="N148" s="0" t="s">
        <v>366</v>
      </c>
      <c r="O148" s="0" t="s">
        <v>46</v>
      </c>
      <c r="P148" s="0" t="s">
        <v>46</v>
      </c>
      <c r="Q148" s="0" t="n">
        <v>0.002463</v>
      </c>
      <c r="R148" s="0" t="n">
        <v>0.0017</v>
      </c>
      <c r="S148" s="0" t="n">
        <v>0.0018</v>
      </c>
      <c r="T148" s="0" t="n">
        <v>-1</v>
      </c>
      <c r="U148" s="0" t="n">
        <v>0.0016</v>
      </c>
      <c r="V148" s="0" t="s">
        <v>46</v>
      </c>
      <c r="W148" s="0" t="s">
        <v>46</v>
      </c>
      <c r="X148" s="0" t="s">
        <v>340</v>
      </c>
      <c r="Y148" s="0" t="s">
        <v>64</v>
      </c>
      <c r="Z148" s="0" t="s">
        <v>46</v>
      </c>
      <c r="AA148" s="0" t="s">
        <v>46</v>
      </c>
      <c r="AB148" s="0" t="s">
        <v>46</v>
      </c>
      <c r="AC148" s="0" t="s">
        <v>642</v>
      </c>
      <c r="AD148" s="0" t="s">
        <v>94</v>
      </c>
      <c r="AE148" s="0" t="s">
        <v>1057</v>
      </c>
      <c r="AF148" s="0" t="s">
        <v>1058</v>
      </c>
      <c r="AG148" s="0" t="s">
        <v>1059</v>
      </c>
      <c r="AH148" s="0" t="s">
        <v>1060</v>
      </c>
      <c r="AI148" s="0" t="s">
        <v>46</v>
      </c>
      <c r="AJ148" s="0" t="s">
        <v>46</v>
      </c>
      <c r="AK148" s="0" t="s">
        <v>46</v>
      </c>
      <c r="AL148" s="0" t="s">
        <v>46</v>
      </c>
    </row>
    <row r="149" customFormat="false" ht="15" hidden="false" customHeight="false" outlineLevel="0" collapsed="false">
      <c r="B149" s="0" t="str">
        <f aca="false">HYPERLINK("https://genome.ucsc.edu/cgi-bin/hgTracks?db=hg19&amp;position=chr15%3A51751875%2D51751875", "chr15:51751875")</f>
        <v>chr15:51751875</v>
      </c>
      <c r="C149" s="0" t="s">
        <v>362</v>
      </c>
      <c r="D149" s="0" t="n">
        <v>51751875</v>
      </c>
      <c r="E149" s="0" t="n">
        <v>51751875</v>
      </c>
      <c r="F149" s="0" t="s">
        <v>58</v>
      </c>
      <c r="G149" s="0" t="s">
        <v>72</v>
      </c>
      <c r="H149" s="0" t="s">
        <v>1061</v>
      </c>
      <c r="I149" s="0" t="s">
        <v>266</v>
      </c>
      <c r="J149" s="0" t="s">
        <v>267</v>
      </c>
      <c r="K149" s="0" t="s">
        <v>46</v>
      </c>
      <c r="L149" s="0" t="s">
        <v>46</v>
      </c>
      <c r="M149" s="0" t="str">
        <f aca="false">HYPERLINK("https://www.genecards.org/Search/Keyword?queryString=%5Baliases%5D(%20DMXL2%20)&amp;keywords=DMXL2", "DMXL2")</f>
        <v>DMXL2</v>
      </c>
      <c r="N149" s="0" t="s">
        <v>366</v>
      </c>
      <c r="O149" s="0" t="s">
        <v>46</v>
      </c>
      <c r="P149" s="0" t="s">
        <v>46</v>
      </c>
      <c r="Q149" s="0" t="n">
        <v>6.5E-006</v>
      </c>
      <c r="R149" s="0" t="n">
        <v>-1</v>
      </c>
      <c r="S149" s="0" t="n">
        <v>-1</v>
      </c>
      <c r="T149" s="0" t="n">
        <v>-1</v>
      </c>
      <c r="U149" s="0" t="n">
        <v>-1</v>
      </c>
      <c r="V149" s="0" t="s">
        <v>46</v>
      </c>
      <c r="W149" s="0" t="s">
        <v>46</v>
      </c>
      <c r="X149" s="0" t="s">
        <v>49</v>
      </c>
      <c r="Y149" s="0" t="s">
        <v>64</v>
      </c>
      <c r="Z149" s="0" t="s">
        <v>46</v>
      </c>
      <c r="AA149" s="0" t="s">
        <v>46</v>
      </c>
      <c r="AB149" s="0" t="s">
        <v>46</v>
      </c>
      <c r="AC149" s="0" t="s">
        <v>52</v>
      </c>
      <c r="AD149" s="0" t="s">
        <v>94</v>
      </c>
      <c r="AE149" s="0" t="s">
        <v>1057</v>
      </c>
      <c r="AF149" s="0" t="s">
        <v>1058</v>
      </c>
      <c r="AG149" s="0" t="s">
        <v>1059</v>
      </c>
      <c r="AH149" s="0" t="s">
        <v>1060</v>
      </c>
      <c r="AI149" s="0" t="s">
        <v>46</v>
      </c>
      <c r="AJ149" s="0" t="s">
        <v>46</v>
      </c>
      <c r="AK149" s="0" t="s">
        <v>46</v>
      </c>
      <c r="AL149" s="0" t="s">
        <v>46</v>
      </c>
    </row>
    <row r="150" customFormat="false" ht="15" hidden="false" customHeight="false" outlineLevel="0" collapsed="false">
      <c r="B150" s="0" t="str">
        <f aca="false">HYPERLINK("https://genome.ucsc.edu/cgi-bin/hgTracks?db=hg19&amp;position=chr15%3A99506444%2D99506444", "chr15:99506444")</f>
        <v>chr15:99506444</v>
      </c>
      <c r="C150" s="0" t="s">
        <v>362</v>
      </c>
      <c r="D150" s="0" t="n">
        <v>99506444</v>
      </c>
      <c r="E150" s="0" t="n">
        <v>99506444</v>
      </c>
      <c r="F150" s="0" t="s">
        <v>39</v>
      </c>
      <c r="G150" s="0" t="s">
        <v>312</v>
      </c>
      <c r="H150" s="0" t="s">
        <v>1062</v>
      </c>
      <c r="I150" s="0" t="s">
        <v>1063</v>
      </c>
      <c r="J150" s="0" t="s">
        <v>1064</v>
      </c>
      <c r="K150" s="0" t="s">
        <v>46</v>
      </c>
      <c r="L150" s="0" t="s">
        <v>46</v>
      </c>
      <c r="M150" s="0" t="str">
        <f aca="false">HYPERLINK("https://www.genecards.org/Search/Keyword?queryString=%5Baliases%5D(%20IGF1R%20)&amp;keywords=IGF1R", "IGF1R")</f>
        <v>IGF1R</v>
      </c>
      <c r="N150" s="0" t="s">
        <v>338</v>
      </c>
      <c r="O150" s="0" t="s">
        <v>46</v>
      </c>
      <c r="P150" s="0" t="s">
        <v>1065</v>
      </c>
      <c r="Q150" s="0" t="n">
        <v>-1</v>
      </c>
      <c r="R150" s="0" t="n">
        <v>-1</v>
      </c>
      <c r="S150" s="0" t="n">
        <v>-1</v>
      </c>
      <c r="T150" s="0" t="n">
        <v>-1</v>
      </c>
      <c r="U150" s="0" t="n">
        <v>-1</v>
      </c>
      <c r="V150" s="0" t="s">
        <v>46</v>
      </c>
      <c r="W150" s="0" t="s">
        <v>46</v>
      </c>
      <c r="X150" s="0" t="s">
        <v>46</v>
      </c>
      <c r="Y150" s="0" t="s">
        <v>46</v>
      </c>
      <c r="Z150" s="0" t="s">
        <v>46</v>
      </c>
      <c r="AA150" s="0" t="s">
        <v>46</v>
      </c>
      <c r="AB150" s="0" t="s">
        <v>46</v>
      </c>
      <c r="AC150" s="0" t="s">
        <v>319</v>
      </c>
      <c r="AD150" s="0" t="s">
        <v>53</v>
      </c>
      <c r="AE150" s="0" t="s">
        <v>1066</v>
      </c>
      <c r="AF150" s="0" t="s">
        <v>1067</v>
      </c>
      <c r="AG150" s="0" t="s">
        <v>1068</v>
      </c>
      <c r="AH150" s="0" t="s">
        <v>1069</v>
      </c>
      <c r="AI150" s="0" t="s">
        <v>46</v>
      </c>
      <c r="AJ150" s="0" t="s">
        <v>46</v>
      </c>
      <c r="AK150" s="0" t="s">
        <v>46</v>
      </c>
      <c r="AL150" s="0" t="s">
        <v>46</v>
      </c>
    </row>
    <row r="151" customFormat="false" ht="15" hidden="false" customHeight="false" outlineLevel="0" collapsed="false">
      <c r="B151" s="0" t="str">
        <f aca="false">HYPERLINK("https://genome.ucsc.edu/cgi-bin/hgTracks?db=hg19&amp;position=chr15%3A100211883%2D100211883", "chr15:100211883")</f>
        <v>chr15:100211883</v>
      </c>
      <c r="C151" s="0" t="s">
        <v>362</v>
      </c>
      <c r="D151" s="0" t="n">
        <v>100211883</v>
      </c>
      <c r="E151" s="0" t="n">
        <v>100211883</v>
      </c>
      <c r="F151" s="0" t="s">
        <v>39</v>
      </c>
      <c r="G151" s="0" t="s">
        <v>58</v>
      </c>
      <c r="H151" s="0" t="s">
        <v>1070</v>
      </c>
      <c r="I151" s="0" t="s">
        <v>1071</v>
      </c>
      <c r="J151" s="0" t="s">
        <v>1072</v>
      </c>
      <c r="K151" s="0" t="s">
        <v>46</v>
      </c>
      <c r="L151" s="0" t="s">
        <v>46</v>
      </c>
      <c r="M151" s="0" t="str">
        <f aca="false">HYPERLINK("https://www.genecards.org/Search/Keyword?queryString=%5Baliases%5D(%20MEF2A%20)&amp;keywords=MEF2A", "MEF2A")</f>
        <v>MEF2A</v>
      </c>
      <c r="N151" s="0" t="s">
        <v>63</v>
      </c>
      <c r="O151" s="0" t="s">
        <v>46</v>
      </c>
      <c r="P151" s="0" t="s">
        <v>46</v>
      </c>
      <c r="Q151" s="0" t="n">
        <v>-1</v>
      </c>
      <c r="R151" s="0" t="n">
        <v>-1</v>
      </c>
      <c r="S151" s="0" t="n">
        <v>-1</v>
      </c>
      <c r="T151" s="0" t="n">
        <v>-1</v>
      </c>
      <c r="U151" s="0" t="n">
        <v>-1</v>
      </c>
      <c r="V151" s="0" t="s">
        <v>46</v>
      </c>
      <c r="W151" s="0" t="s">
        <v>46</v>
      </c>
      <c r="X151" s="0" t="s">
        <v>49</v>
      </c>
      <c r="Y151" s="0" t="s">
        <v>64</v>
      </c>
      <c r="Z151" s="0" t="s">
        <v>46</v>
      </c>
      <c r="AA151" s="0" t="s">
        <v>46</v>
      </c>
      <c r="AB151" s="0" t="s">
        <v>46</v>
      </c>
      <c r="AC151" s="0" t="s">
        <v>52</v>
      </c>
      <c r="AD151" s="0" t="s">
        <v>53</v>
      </c>
      <c r="AE151" s="0" t="s">
        <v>1073</v>
      </c>
      <c r="AF151" s="0" t="s">
        <v>1074</v>
      </c>
      <c r="AG151" s="0" t="s">
        <v>1075</v>
      </c>
      <c r="AH151" s="0" t="s">
        <v>1076</v>
      </c>
      <c r="AI151" s="0" t="s">
        <v>46</v>
      </c>
      <c r="AJ151" s="0" t="s">
        <v>46</v>
      </c>
      <c r="AK151" s="0" t="s">
        <v>46</v>
      </c>
      <c r="AL151" s="0" t="s">
        <v>46</v>
      </c>
    </row>
    <row r="152" customFormat="false" ht="15" hidden="false" customHeight="false" outlineLevel="0" collapsed="false">
      <c r="B152" s="0" t="str">
        <f aca="false">HYPERLINK("https://genome.ucsc.edu/cgi-bin/hgTracks?db=hg19&amp;position=chr15%3A100512387%2D100512387", "chr15:100512387")</f>
        <v>chr15:100512387</v>
      </c>
      <c r="C152" s="0" t="s">
        <v>362</v>
      </c>
      <c r="D152" s="0" t="n">
        <v>100512387</v>
      </c>
      <c r="E152" s="0" t="n">
        <v>100512387</v>
      </c>
      <c r="F152" s="0" t="s">
        <v>40</v>
      </c>
      <c r="G152" s="0" t="s">
        <v>39</v>
      </c>
      <c r="H152" s="0" t="s">
        <v>1077</v>
      </c>
      <c r="I152" s="0" t="s">
        <v>1078</v>
      </c>
      <c r="J152" s="0" t="s">
        <v>1079</v>
      </c>
      <c r="K152" s="0" t="s">
        <v>46</v>
      </c>
      <c r="L152" s="0" t="str">
        <f aca="false">HYPERLINK("https://www.ncbi.nlm.nih.gov/snp/rs559688841", "rs559688841")</f>
        <v>rs559688841</v>
      </c>
      <c r="M152" s="0" t="str">
        <f aca="false">HYPERLINK("https://www.genecards.org/Search/Keyword?queryString=%5Baliases%5D(%20ADAMTS17%20)&amp;keywords=ADAMTS17", "ADAMTS17")</f>
        <v>ADAMTS17</v>
      </c>
      <c r="N152" s="0" t="s">
        <v>338</v>
      </c>
      <c r="O152" s="0" t="s">
        <v>46</v>
      </c>
      <c r="P152" s="0" t="s">
        <v>1080</v>
      </c>
      <c r="Q152" s="0" t="n">
        <v>0.0021</v>
      </c>
      <c r="R152" s="0" t="n">
        <v>0.002</v>
      </c>
      <c r="S152" s="0" t="n">
        <v>0.0021</v>
      </c>
      <c r="T152" s="0" t="n">
        <v>-1</v>
      </c>
      <c r="U152" s="0" t="n">
        <v>0.0016</v>
      </c>
      <c r="V152" s="0" t="s">
        <v>46</v>
      </c>
      <c r="W152" s="0" t="s">
        <v>46</v>
      </c>
      <c r="X152" s="0" t="s">
        <v>46</v>
      </c>
      <c r="Y152" s="0" t="s">
        <v>46</v>
      </c>
      <c r="Z152" s="0" t="s">
        <v>46</v>
      </c>
      <c r="AA152" s="0" t="s">
        <v>46</v>
      </c>
      <c r="AB152" s="0" t="s">
        <v>46</v>
      </c>
      <c r="AC152" s="0" t="s">
        <v>52</v>
      </c>
      <c r="AD152" s="0" t="s">
        <v>53</v>
      </c>
      <c r="AE152" s="0" t="s">
        <v>1081</v>
      </c>
      <c r="AF152" s="0" t="s">
        <v>1082</v>
      </c>
      <c r="AG152" s="0" t="s">
        <v>46</v>
      </c>
      <c r="AH152" s="0" t="s">
        <v>1083</v>
      </c>
      <c r="AI152" s="0" t="s">
        <v>46</v>
      </c>
      <c r="AJ152" s="0" t="s">
        <v>46</v>
      </c>
      <c r="AK152" s="0" t="s">
        <v>46</v>
      </c>
      <c r="AL152" s="0" t="s">
        <v>46</v>
      </c>
    </row>
    <row r="153" customFormat="false" ht="15" hidden="false" customHeight="false" outlineLevel="0" collapsed="false">
      <c r="B153" s="0" t="str">
        <f aca="false">HYPERLINK("https://genome.ucsc.edu/cgi-bin/hgTracks?db=hg19&amp;position=chr16%3A1634441%2D1634441", "chr16:1634441")</f>
        <v>chr16:1634441</v>
      </c>
      <c r="C153" s="0" t="s">
        <v>264</v>
      </c>
      <c r="D153" s="0" t="n">
        <v>1634441</v>
      </c>
      <c r="E153" s="0" t="n">
        <v>1634441</v>
      </c>
      <c r="F153" s="0" t="s">
        <v>58</v>
      </c>
      <c r="G153" s="0" t="s">
        <v>72</v>
      </c>
      <c r="H153" s="0" t="s">
        <v>1084</v>
      </c>
      <c r="I153" s="0" t="s">
        <v>1085</v>
      </c>
      <c r="J153" s="0" t="s">
        <v>1086</v>
      </c>
      <c r="K153" s="0" t="s">
        <v>46</v>
      </c>
      <c r="L153" s="0" t="s">
        <v>46</v>
      </c>
      <c r="M153" s="0" t="str">
        <f aca="false">HYPERLINK("https://www.genecards.org/Search/Keyword?queryString=%5Baliases%5D(%20IFT140%20)%20OR%20%5Baliases%5D(%20LOC105371046%20)&amp;keywords=IFT140,LOC105371046", "IFT140;LOC105371046")</f>
        <v>IFT140;LOC105371046</v>
      </c>
      <c r="N153" s="0" t="s">
        <v>366</v>
      </c>
      <c r="O153" s="0" t="s">
        <v>46</v>
      </c>
      <c r="P153" s="0" t="s">
        <v>46</v>
      </c>
      <c r="Q153" s="0" t="n">
        <v>-1</v>
      </c>
      <c r="R153" s="0" t="n">
        <v>-1</v>
      </c>
      <c r="S153" s="0" t="n">
        <v>-1</v>
      </c>
      <c r="T153" s="0" t="n">
        <v>-1</v>
      </c>
      <c r="U153" s="0" t="n">
        <v>-1</v>
      </c>
      <c r="V153" s="0" t="s">
        <v>46</v>
      </c>
      <c r="W153" s="0" t="s">
        <v>46</v>
      </c>
      <c r="X153" s="0" t="s">
        <v>340</v>
      </c>
      <c r="Y153" s="0" t="s">
        <v>64</v>
      </c>
      <c r="Z153" s="0" t="s">
        <v>46</v>
      </c>
      <c r="AA153" s="0" t="s">
        <v>46</v>
      </c>
      <c r="AB153" s="0" t="s">
        <v>46</v>
      </c>
      <c r="AC153" s="0" t="s">
        <v>52</v>
      </c>
      <c r="AD153" s="0" t="s">
        <v>182</v>
      </c>
      <c r="AE153" s="0" t="s">
        <v>1087</v>
      </c>
      <c r="AF153" s="0" t="s">
        <v>1088</v>
      </c>
      <c r="AG153" s="0" t="s">
        <v>1089</v>
      </c>
      <c r="AH153" s="0" t="s">
        <v>1090</v>
      </c>
      <c r="AI153" s="0" t="s">
        <v>46</v>
      </c>
      <c r="AJ153" s="0" t="s">
        <v>46</v>
      </c>
      <c r="AK153" s="0" t="s">
        <v>46</v>
      </c>
      <c r="AL153" s="0" t="s">
        <v>46</v>
      </c>
    </row>
    <row r="154" customFormat="false" ht="15" hidden="false" customHeight="false" outlineLevel="0" collapsed="false">
      <c r="B154" s="0" t="str">
        <f aca="false">HYPERLINK("https://genome.ucsc.edu/cgi-bin/hgTracks?db=hg19&amp;position=chr16%3A5080558%2D5080558", "chr16:5080558")</f>
        <v>chr16:5080558</v>
      </c>
      <c r="C154" s="0" t="s">
        <v>264</v>
      </c>
      <c r="D154" s="0" t="n">
        <v>5080558</v>
      </c>
      <c r="E154" s="0" t="n">
        <v>5080558</v>
      </c>
      <c r="F154" s="0" t="s">
        <v>40</v>
      </c>
      <c r="G154" s="0" t="s">
        <v>72</v>
      </c>
      <c r="H154" s="0" t="s">
        <v>1091</v>
      </c>
      <c r="I154" s="0" t="s">
        <v>157</v>
      </c>
      <c r="J154" s="0" t="s">
        <v>1092</v>
      </c>
      <c r="K154" s="0" t="s">
        <v>46</v>
      </c>
      <c r="L154" s="0" t="str">
        <f aca="false">HYPERLINK("https://www.ncbi.nlm.nih.gov/snp/rs150783384", "rs150783384")</f>
        <v>rs150783384</v>
      </c>
      <c r="M154" s="0" t="str">
        <f aca="false">HYPERLINK("https://www.genecards.org/Search/Keyword?queryString=%5Baliases%5D(%20NAGPA%20)&amp;keywords=NAGPA", "NAGPA")</f>
        <v>NAGPA</v>
      </c>
      <c r="N154" s="0" t="s">
        <v>366</v>
      </c>
      <c r="O154" s="0" t="s">
        <v>46</v>
      </c>
      <c r="P154" s="0" t="s">
        <v>46</v>
      </c>
      <c r="Q154" s="0" t="n">
        <v>0.0207</v>
      </c>
      <c r="R154" s="0" t="n">
        <v>0.0153</v>
      </c>
      <c r="S154" s="0" t="n">
        <v>0.0152</v>
      </c>
      <c r="T154" s="0" t="n">
        <v>-1</v>
      </c>
      <c r="U154" s="0" t="n">
        <v>0.0156</v>
      </c>
      <c r="V154" s="0" t="s">
        <v>46</v>
      </c>
      <c r="W154" s="0" t="s">
        <v>46</v>
      </c>
      <c r="X154" s="0" t="s">
        <v>340</v>
      </c>
      <c r="Y154" s="0" t="s">
        <v>64</v>
      </c>
      <c r="Z154" s="0" t="s">
        <v>46</v>
      </c>
      <c r="AA154" s="0" t="s">
        <v>46</v>
      </c>
      <c r="AB154" s="0" t="s">
        <v>46</v>
      </c>
      <c r="AC154" s="0" t="s">
        <v>52</v>
      </c>
      <c r="AD154" s="0" t="s">
        <v>53</v>
      </c>
      <c r="AE154" s="0" t="s">
        <v>1093</v>
      </c>
      <c r="AF154" s="0" t="s">
        <v>1094</v>
      </c>
      <c r="AG154" s="0" t="s">
        <v>1095</v>
      </c>
      <c r="AH154" s="0" t="s">
        <v>1096</v>
      </c>
      <c r="AI154" s="0" t="s">
        <v>46</v>
      </c>
      <c r="AJ154" s="0" t="s">
        <v>46</v>
      </c>
      <c r="AK154" s="0" t="s">
        <v>46</v>
      </c>
      <c r="AL154" s="0" t="s">
        <v>46</v>
      </c>
    </row>
    <row r="155" customFormat="false" ht="15" hidden="false" customHeight="false" outlineLevel="0" collapsed="false">
      <c r="B155" s="0" t="str">
        <f aca="false">HYPERLINK("https://genome.ucsc.edu/cgi-bin/hgTracks?db=hg19&amp;position=chr16%3A28620025%2D28620025", "chr16:28620025")</f>
        <v>chr16:28620025</v>
      </c>
      <c r="C155" s="0" t="s">
        <v>264</v>
      </c>
      <c r="D155" s="0" t="n">
        <v>28620025</v>
      </c>
      <c r="E155" s="0" t="n">
        <v>28620025</v>
      </c>
      <c r="F155" s="0" t="s">
        <v>39</v>
      </c>
      <c r="G155" s="0" t="s">
        <v>40</v>
      </c>
      <c r="H155" s="0" t="s">
        <v>1097</v>
      </c>
      <c r="I155" s="0" t="s">
        <v>1098</v>
      </c>
      <c r="J155" s="0" t="s">
        <v>1099</v>
      </c>
      <c r="K155" s="0" t="s">
        <v>46</v>
      </c>
      <c r="L155" s="0" t="str">
        <f aca="false">HYPERLINK("https://www.ncbi.nlm.nih.gov/snp/rs12924616", "rs12924616")</f>
        <v>rs12924616</v>
      </c>
      <c r="M155" s="0" t="str">
        <f aca="false">HYPERLINK("https://www.genecards.org/Search/Keyword?queryString=%5Baliases%5D(%20NPIPL1%20)%20OR%20%5Baliases%5D(%20SULT1A1%20)&amp;keywords=NPIPL1,SULT1A1", "NPIPL1;SULT1A1")</f>
        <v>NPIPL1;SULT1A1</v>
      </c>
      <c r="N155" s="0" t="s">
        <v>63</v>
      </c>
      <c r="O155" s="0" t="s">
        <v>46</v>
      </c>
      <c r="P155" s="0" t="s">
        <v>46</v>
      </c>
      <c r="Q155" s="0" t="n">
        <v>0.010744</v>
      </c>
      <c r="R155" s="0" t="n">
        <v>0.0037</v>
      </c>
      <c r="S155" s="0" t="n">
        <v>0.0051</v>
      </c>
      <c r="T155" s="0" t="n">
        <v>-1</v>
      </c>
      <c r="U155" s="0" t="n">
        <v>0.0025</v>
      </c>
      <c r="V155" s="0" t="s">
        <v>46</v>
      </c>
      <c r="W155" s="0" t="s">
        <v>39</v>
      </c>
      <c r="X155" s="0" t="s">
        <v>385</v>
      </c>
      <c r="Y155" s="0" t="s">
        <v>50</v>
      </c>
      <c r="Z155" s="0" t="s">
        <v>46</v>
      </c>
      <c r="AA155" s="0" t="s">
        <v>46</v>
      </c>
      <c r="AB155" s="0" t="s">
        <v>46</v>
      </c>
      <c r="AC155" s="0" t="s">
        <v>52</v>
      </c>
      <c r="AD155" s="0" t="s">
        <v>182</v>
      </c>
      <c r="AE155" s="0" t="s">
        <v>1100</v>
      </c>
      <c r="AF155" s="0" t="s">
        <v>1101</v>
      </c>
      <c r="AG155" s="0" t="s">
        <v>1102</v>
      </c>
      <c r="AH155" s="0" t="s">
        <v>46</v>
      </c>
      <c r="AI155" s="0" t="s">
        <v>46</v>
      </c>
      <c r="AJ155" s="0" t="s">
        <v>46</v>
      </c>
      <c r="AK155" s="0" t="s">
        <v>46</v>
      </c>
      <c r="AL155" s="0" t="s">
        <v>195</v>
      </c>
    </row>
    <row r="156" customFormat="false" ht="15" hidden="false" customHeight="false" outlineLevel="0" collapsed="false">
      <c r="B156" s="0" t="str">
        <f aca="false">HYPERLINK("https://genome.ucsc.edu/cgi-bin/hgTracks?db=hg19&amp;position=chr16%3A46652286%2D46652286", "chr16:46652286")</f>
        <v>chr16:46652286</v>
      </c>
      <c r="C156" s="0" t="s">
        <v>264</v>
      </c>
      <c r="D156" s="0" t="n">
        <v>46652286</v>
      </c>
      <c r="E156" s="0" t="n">
        <v>46652286</v>
      </c>
      <c r="F156" s="0" t="s">
        <v>312</v>
      </c>
      <c r="G156" s="0" t="s">
        <v>72</v>
      </c>
      <c r="H156" s="0" t="s">
        <v>1103</v>
      </c>
      <c r="I156" s="0" t="s">
        <v>1104</v>
      </c>
      <c r="J156" s="0" t="s">
        <v>1105</v>
      </c>
      <c r="K156" s="0" t="s">
        <v>46</v>
      </c>
      <c r="L156" s="0" t="str">
        <f aca="false">HYPERLINK("https://www.ncbi.nlm.nih.gov/snp/rs760112058", "rs760112058")</f>
        <v>rs760112058</v>
      </c>
      <c r="M156" s="0" t="str">
        <f aca="false">HYPERLINK("https://www.genecards.org/Search/Keyword?queryString=%5Baliases%5D(%20SHCBP1%20)&amp;keywords=SHCBP1", "SHCBP1")</f>
        <v>SHCBP1</v>
      </c>
      <c r="N156" s="0" t="s">
        <v>45</v>
      </c>
      <c r="O156" s="0" t="s">
        <v>46</v>
      </c>
      <c r="P156" s="0" t="s">
        <v>1106</v>
      </c>
      <c r="Q156" s="0" t="n">
        <v>0.013</v>
      </c>
      <c r="R156" s="0" t="n">
        <v>0.0057</v>
      </c>
      <c r="S156" s="0" t="n">
        <v>0.0047</v>
      </c>
      <c r="T156" s="0" t="n">
        <v>-1</v>
      </c>
      <c r="U156" s="0" t="n">
        <v>0.0159</v>
      </c>
      <c r="V156" s="0" t="s">
        <v>46</v>
      </c>
      <c r="W156" s="0" t="s">
        <v>46</v>
      </c>
      <c r="X156" s="0" t="s">
        <v>46</v>
      </c>
      <c r="Y156" s="0" t="s">
        <v>46</v>
      </c>
      <c r="Z156" s="0" t="s">
        <v>46</v>
      </c>
      <c r="AA156" s="0" t="s">
        <v>46</v>
      </c>
      <c r="AB156" s="0" t="s">
        <v>46</v>
      </c>
      <c r="AC156" s="0" t="s">
        <v>52</v>
      </c>
      <c r="AD156" s="0" t="s">
        <v>53</v>
      </c>
      <c r="AE156" s="0" t="s">
        <v>1107</v>
      </c>
      <c r="AF156" s="0" t="s">
        <v>1108</v>
      </c>
      <c r="AG156" s="0" t="s">
        <v>1109</v>
      </c>
      <c r="AH156" s="0" t="s">
        <v>46</v>
      </c>
      <c r="AI156" s="0" t="s">
        <v>46</v>
      </c>
      <c r="AJ156" s="0" t="s">
        <v>46</v>
      </c>
      <c r="AK156" s="0" t="s">
        <v>46</v>
      </c>
      <c r="AL156" s="0" t="s">
        <v>46</v>
      </c>
    </row>
    <row r="157" customFormat="false" ht="15" hidden="false" customHeight="false" outlineLevel="0" collapsed="false">
      <c r="B157" s="0" t="str">
        <f aca="false">HYPERLINK("https://genome.ucsc.edu/cgi-bin/hgTracks?db=hg19&amp;position=chr16%3A55517882%2D55517882", "chr16:55517882")</f>
        <v>chr16:55517882</v>
      </c>
      <c r="C157" s="0" t="s">
        <v>264</v>
      </c>
      <c r="D157" s="0" t="n">
        <v>55517882</v>
      </c>
      <c r="E157" s="0" t="n">
        <v>55517882</v>
      </c>
      <c r="F157" s="0" t="s">
        <v>40</v>
      </c>
      <c r="G157" s="0" t="s">
        <v>58</v>
      </c>
      <c r="H157" s="0" t="s">
        <v>1110</v>
      </c>
      <c r="I157" s="0" t="s">
        <v>1111</v>
      </c>
      <c r="J157" s="0" t="s">
        <v>1112</v>
      </c>
      <c r="K157" s="0" t="s">
        <v>46</v>
      </c>
      <c r="L157" s="0" t="str">
        <f aca="false">HYPERLINK("https://www.ncbi.nlm.nih.gov/snp/rs41280907", "rs41280907")</f>
        <v>rs41280907</v>
      </c>
      <c r="M157" s="0" t="str">
        <f aca="false">HYPERLINK("https://www.genecards.org/Search/Keyword?queryString=%5Baliases%5D(%20MMP2%20)&amp;keywords=MMP2", "MMP2")</f>
        <v>MMP2</v>
      </c>
      <c r="N157" s="0" t="s">
        <v>63</v>
      </c>
      <c r="O157" s="0" t="s">
        <v>46</v>
      </c>
      <c r="P157" s="0" t="s">
        <v>46</v>
      </c>
      <c r="Q157" s="0" t="n">
        <v>0.006</v>
      </c>
      <c r="R157" s="0" t="n">
        <v>0.0036</v>
      </c>
      <c r="S157" s="0" t="n">
        <v>0.0043</v>
      </c>
      <c r="T157" s="0" t="n">
        <v>-1</v>
      </c>
      <c r="U157" s="0" t="n">
        <v>0.0045</v>
      </c>
      <c r="V157" s="0" t="s">
        <v>46</v>
      </c>
      <c r="W157" s="0" t="s">
        <v>46</v>
      </c>
      <c r="X157" s="0" t="s">
        <v>49</v>
      </c>
      <c r="Y157" s="0" t="s">
        <v>64</v>
      </c>
      <c r="Z157" s="0" t="s">
        <v>46</v>
      </c>
      <c r="AA157" s="0" t="s">
        <v>46</v>
      </c>
      <c r="AB157" s="0" t="s">
        <v>46</v>
      </c>
      <c r="AC157" s="0" t="s">
        <v>52</v>
      </c>
      <c r="AD157" s="0" t="s">
        <v>53</v>
      </c>
      <c r="AE157" s="0" t="s">
        <v>1113</v>
      </c>
      <c r="AF157" s="0" t="s">
        <v>1114</v>
      </c>
      <c r="AG157" s="0" t="s">
        <v>1115</v>
      </c>
      <c r="AH157" s="0" t="s">
        <v>1116</v>
      </c>
      <c r="AI157" s="0" t="s">
        <v>46</v>
      </c>
      <c r="AJ157" s="0" t="s">
        <v>46</v>
      </c>
      <c r="AK157" s="0" t="s">
        <v>46</v>
      </c>
      <c r="AL157" s="0" t="s">
        <v>46</v>
      </c>
    </row>
    <row r="158" customFormat="false" ht="15" hidden="false" customHeight="false" outlineLevel="0" collapsed="false">
      <c r="B158" s="0" t="str">
        <f aca="false">HYPERLINK("https://genome.ucsc.edu/cgi-bin/hgTracks?db=hg19&amp;position=chr16%3A70896016%2D70896016", "chr16:70896016")</f>
        <v>chr16:70896016</v>
      </c>
      <c r="C158" s="0" t="s">
        <v>264</v>
      </c>
      <c r="D158" s="0" t="n">
        <v>70896016</v>
      </c>
      <c r="E158" s="0" t="n">
        <v>70896016</v>
      </c>
      <c r="F158" s="0" t="s">
        <v>72</v>
      </c>
      <c r="G158" s="0" t="s">
        <v>312</v>
      </c>
      <c r="H158" s="0" t="s">
        <v>1117</v>
      </c>
      <c r="I158" s="0" t="s">
        <v>1118</v>
      </c>
      <c r="J158" s="0" t="s">
        <v>1119</v>
      </c>
      <c r="K158" s="0" t="s">
        <v>46</v>
      </c>
      <c r="L158" s="0" t="str">
        <f aca="false">HYPERLINK("https://www.ncbi.nlm.nih.gov/snp/rs11337008", "rs11337008")</f>
        <v>rs11337008</v>
      </c>
      <c r="M158" s="0" t="str">
        <f aca="false">HYPERLINK("https://www.genecards.org/Search/Keyword?queryString=%5Baliases%5D(%20HYDIN%20)&amp;keywords=HYDIN", "HYDIN")</f>
        <v>HYDIN</v>
      </c>
      <c r="N158" s="0" t="s">
        <v>77</v>
      </c>
      <c r="O158" s="0" t="s">
        <v>623</v>
      </c>
      <c r="P158" s="0" t="s">
        <v>1120</v>
      </c>
      <c r="Q158" s="0" t="n">
        <v>0.0041655</v>
      </c>
      <c r="R158" s="0" t="n">
        <v>-1</v>
      </c>
      <c r="S158" s="0" t="n">
        <v>-1</v>
      </c>
      <c r="T158" s="0" t="n">
        <v>-1</v>
      </c>
      <c r="U158" s="0" t="n">
        <v>-1</v>
      </c>
      <c r="V158" s="0" t="s">
        <v>46</v>
      </c>
      <c r="W158" s="0" t="s">
        <v>46</v>
      </c>
      <c r="X158" s="0" t="s">
        <v>46</v>
      </c>
      <c r="Y158" s="0" t="s">
        <v>46</v>
      </c>
      <c r="Z158" s="0" t="s">
        <v>46</v>
      </c>
      <c r="AA158" s="0" t="s">
        <v>46</v>
      </c>
      <c r="AB158" s="0" t="s">
        <v>46</v>
      </c>
      <c r="AC158" s="0" t="s">
        <v>52</v>
      </c>
      <c r="AD158" s="0" t="s">
        <v>53</v>
      </c>
      <c r="AE158" s="0" t="s">
        <v>46</v>
      </c>
      <c r="AF158" s="0" t="s">
        <v>1121</v>
      </c>
      <c r="AG158" s="0" t="s">
        <v>1122</v>
      </c>
      <c r="AH158" s="0" t="s">
        <v>1123</v>
      </c>
      <c r="AI158" s="0" t="s">
        <v>46</v>
      </c>
      <c r="AJ158" s="0" t="s">
        <v>46</v>
      </c>
      <c r="AK158" s="0" t="s">
        <v>46</v>
      </c>
      <c r="AL158" s="0" t="s">
        <v>195</v>
      </c>
    </row>
    <row r="159" customFormat="false" ht="15" hidden="false" customHeight="false" outlineLevel="0" collapsed="false">
      <c r="B159" s="0" t="str">
        <f aca="false">HYPERLINK("https://genome.ucsc.edu/cgi-bin/hgTracks?db=hg19&amp;position=chr16%3A88791785%2D88791785", "chr16:88791785")</f>
        <v>chr16:88791785</v>
      </c>
      <c r="C159" s="0" t="s">
        <v>264</v>
      </c>
      <c r="D159" s="0" t="n">
        <v>88791785</v>
      </c>
      <c r="E159" s="0" t="n">
        <v>88791785</v>
      </c>
      <c r="F159" s="0" t="s">
        <v>58</v>
      </c>
      <c r="G159" s="0" t="s">
        <v>40</v>
      </c>
      <c r="H159" s="0" t="s">
        <v>1124</v>
      </c>
      <c r="I159" s="0" t="s">
        <v>1125</v>
      </c>
      <c r="J159" s="0" t="s">
        <v>1126</v>
      </c>
      <c r="K159" s="0" t="s">
        <v>46</v>
      </c>
      <c r="L159" s="0" t="str">
        <f aca="false">HYPERLINK("https://www.ncbi.nlm.nih.gov/snp/rs138679156", "rs138679156")</f>
        <v>rs138679156</v>
      </c>
      <c r="M159" s="0" t="str">
        <f aca="false">HYPERLINK("https://www.genecards.org/Search/Keyword?queryString=%5Baliases%5D(%20PIEZO1%20)&amp;keywords=PIEZO1", "PIEZO1")</f>
        <v>PIEZO1</v>
      </c>
      <c r="N159" s="0" t="s">
        <v>63</v>
      </c>
      <c r="O159" s="0" t="s">
        <v>46</v>
      </c>
      <c r="P159" s="0" t="s">
        <v>46</v>
      </c>
      <c r="Q159" s="0" t="n">
        <v>0.0035</v>
      </c>
      <c r="R159" s="0" t="n">
        <v>0.0037</v>
      </c>
      <c r="S159" s="0" t="n">
        <v>0.0036</v>
      </c>
      <c r="T159" s="0" t="n">
        <v>-1</v>
      </c>
      <c r="U159" s="0" t="n">
        <v>0.0081</v>
      </c>
      <c r="V159" s="0" t="s">
        <v>46</v>
      </c>
      <c r="W159" s="0" t="s">
        <v>46</v>
      </c>
      <c r="X159" s="0" t="s">
        <v>385</v>
      </c>
      <c r="Y159" s="0" t="s">
        <v>64</v>
      </c>
      <c r="Z159" s="0" t="s">
        <v>46</v>
      </c>
      <c r="AA159" s="0" t="s">
        <v>46</v>
      </c>
      <c r="AB159" s="0" t="s">
        <v>46</v>
      </c>
      <c r="AC159" s="0" t="s">
        <v>52</v>
      </c>
      <c r="AD159" s="0" t="s">
        <v>53</v>
      </c>
      <c r="AE159" s="0" t="s">
        <v>1127</v>
      </c>
      <c r="AF159" s="0" t="s">
        <v>1128</v>
      </c>
      <c r="AG159" s="0" t="s">
        <v>1129</v>
      </c>
      <c r="AH159" s="0" t="s">
        <v>1130</v>
      </c>
      <c r="AI159" s="0" t="s">
        <v>46</v>
      </c>
      <c r="AJ159" s="0" t="s">
        <v>46</v>
      </c>
      <c r="AK159" s="0" t="s">
        <v>46</v>
      </c>
      <c r="AL159" s="0" t="s">
        <v>46</v>
      </c>
    </row>
    <row r="160" customFormat="false" ht="15" hidden="false" customHeight="false" outlineLevel="0" collapsed="false">
      <c r="B160" s="0" t="str">
        <f aca="false">HYPERLINK("https://genome.ucsc.edu/cgi-bin/hgTracks?db=hg19&amp;position=chr17%3A4646964%2D4646964", "chr17:4646964")</f>
        <v>chr17:4646964</v>
      </c>
      <c r="C160" s="0" t="s">
        <v>372</v>
      </c>
      <c r="D160" s="0" t="n">
        <v>4646964</v>
      </c>
      <c r="E160" s="0" t="n">
        <v>4646964</v>
      </c>
      <c r="F160" s="0" t="s">
        <v>58</v>
      </c>
      <c r="G160" s="0" t="s">
        <v>72</v>
      </c>
      <c r="H160" s="0" t="s">
        <v>1131</v>
      </c>
      <c r="I160" s="0" t="s">
        <v>594</v>
      </c>
      <c r="J160" s="0" t="s">
        <v>1132</v>
      </c>
      <c r="K160" s="0" t="s">
        <v>46</v>
      </c>
      <c r="L160" s="0" t="str">
        <f aca="false">HYPERLINK("https://www.ncbi.nlm.nih.gov/snp/rs113813186", "rs113813186")</f>
        <v>rs113813186</v>
      </c>
      <c r="M160" s="0" t="str">
        <f aca="false">HYPERLINK("https://www.genecards.org/Search/Keyword?queryString=%5Baliases%5D(%20ZMYND15%20)&amp;keywords=ZMYND15", "ZMYND15")</f>
        <v>ZMYND15</v>
      </c>
      <c r="N160" s="0" t="s">
        <v>63</v>
      </c>
      <c r="O160" s="0" t="s">
        <v>46</v>
      </c>
      <c r="P160" s="0" t="s">
        <v>46</v>
      </c>
      <c r="Q160" s="0" t="n">
        <v>0.0227</v>
      </c>
      <c r="R160" s="0" t="n">
        <v>0.0231</v>
      </c>
      <c r="S160" s="0" t="n">
        <v>0.0225</v>
      </c>
      <c r="T160" s="0" t="n">
        <v>-1</v>
      </c>
      <c r="U160" s="0" t="n">
        <v>0.0238</v>
      </c>
      <c r="V160" s="0" t="s">
        <v>46</v>
      </c>
      <c r="W160" s="0" t="s">
        <v>46</v>
      </c>
      <c r="X160" s="0" t="s">
        <v>49</v>
      </c>
      <c r="Y160" s="0" t="s">
        <v>64</v>
      </c>
      <c r="Z160" s="0" t="s">
        <v>46</v>
      </c>
      <c r="AA160" s="0" t="s">
        <v>46</v>
      </c>
      <c r="AB160" s="0" t="s">
        <v>46</v>
      </c>
      <c r="AC160" s="0" t="s">
        <v>52</v>
      </c>
      <c r="AD160" s="0" t="s">
        <v>53</v>
      </c>
      <c r="AE160" s="0" t="s">
        <v>1133</v>
      </c>
      <c r="AF160" s="0" t="s">
        <v>1134</v>
      </c>
      <c r="AG160" s="0" t="s">
        <v>1135</v>
      </c>
      <c r="AH160" s="0" t="s">
        <v>1136</v>
      </c>
      <c r="AI160" s="0" t="s">
        <v>46</v>
      </c>
      <c r="AJ160" s="0" t="s">
        <v>46</v>
      </c>
      <c r="AK160" s="0" t="s">
        <v>46</v>
      </c>
      <c r="AL160" s="0" t="s">
        <v>46</v>
      </c>
    </row>
    <row r="161" customFormat="false" ht="15" hidden="false" customHeight="false" outlineLevel="0" collapsed="false">
      <c r="B161" s="0" t="str">
        <f aca="false">HYPERLINK("https://genome.ucsc.edu/cgi-bin/hgTracks?db=hg19&amp;position=chr17%3A5036932%2D5036932", "chr17:5036932")</f>
        <v>chr17:5036932</v>
      </c>
      <c r="C161" s="0" t="s">
        <v>372</v>
      </c>
      <c r="D161" s="0" t="n">
        <v>5036932</v>
      </c>
      <c r="E161" s="0" t="n">
        <v>5036932</v>
      </c>
      <c r="F161" s="0" t="s">
        <v>58</v>
      </c>
      <c r="G161" s="0" t="s">
        <v>72</v>
      </c>
      <c r="H161" s="0" t="s">
        <v>1137</v>
      </c>
      <c r="I161" s="0" t="s">
        <v>364</v>
      </c>
      <c r="J161" s="0" t="s">
        <v>1138</v>
      </c>
      <c r="K161" s="0" t="s">
        <v>46</v>
      </c>
      <c r="L161" s="0" t="s">
        <v>46</v>
      </c>
      <c r="M161" s="0" t="str">
        <f aca="false">HYPERLINK("https://www.genecards.org/Search/Keyword?queryString=%5Baliases%5D(%20USP6%20)&amp;keywords=USP6", "USP6")</f>
        <v>USP6</v>
      </c>
      <c r="N161" s="0" t="s">
        <v>63</v>
      </c>
      <c r="O161" s="0" t="s">
        <v>46</v>
      </c>
      <c r="P161" s="0" t="s">
        <v>46</v>
      </c>
      <c r="Q161" s="0" t="n">
        <v>0.0033</v>
      </c>
      <c r="R161" s="0" t="n">
        <v>0.0003</v>
      </c>
      <c r="S161" s="0" t="n">
        <v>0.0007</v>
      </c>
      <c r="T161" s="0" t="n">
        <v>-1</v>
      </c>
      <c r="U161" s="0" t="n">
        <v>0.0009</v>
      </c>
      <c r="V161" s="0" t="s">
        <v>46</v>
      </c>
      <c r="W161" s="0" t="s">
        <v>46</v>
      </c>
      <c r="X161" s="0" t="s">
        <v>49</v>
      </c>
      <c r="Y161" s="0" t="s">
        <v>64</v>
      </c>
      <c r="Z161" s="0" t="s">
        <v>46</v>
      </c>
      <c r="AA161" s="0" t="s">
        <v>46</v>
      </c>
      <c r="AB161" s="0" t="s">
        <v>46</v>
      </c>
      <c r="AC161" s="0" t="s">
        <v>52</v>
      </c>
      <c r="AD161" s="0" t="s">
        <v>53</v>
      </c>
      <c r="AE161" s="0" t="s">
        <v>1139</v>
      </c>
      <c r="AF161" s="0" t="s">
        <v>1140</v>
      </c>
      <c r="AG161" s="0" t="s">
        <v>1141</v>
      </c>
      <c r="AH161" s="0" t="s">
        <v>1142</v>
      </c>
      <c r="AI161" s="0" t="s">
        <v>46</v>
      </c>
      <c r="AJ161" s="0" t="s">
        <v>46</v>
      </c>
      <c r="AK161" s="0" t="s">
        <v>46</v>
      </c>
      <c r="AL161" s="0" t="s">
        <v>46</v>
      </c>
    </row>
    <row r="162" customFormat="false" ht="15" hidden="false" customHeight="false" outlineLevel="0" collapsed="false">
      <c r="B162" s="0" t="str">
        <f aca="false">HYPERLINK("https://genome.ucsc.edu/cgi-bin/hgTracks?db=hg19&amp;position=chr17%3A7530817%2D7530817", "chr17:7530817")</f>
        <v>chr17:7530817</v>
      </c>
      <c r="C162" s="0" t="s">
        <v>372</v>
      </c>
      <c r="D162" s="0" t="n">
        <v>7530817</v>
      </c>
      <c r="E162" s="0" t="n">
        <v>7530817</v>
      </c>
      <c r="F162" s="0" t="s">
        <v>58</v>
      </c>
      <c r="G162" s="0" t="s">
        <v>72</v>
      </c>
      <c r="H162" s="0" t="s">
        <v>1143</v>
      </c>
      <c r="I162" s="0" t="s">
        <v>1144</v>
      </c>
      <c r="J162" s="0" t="s">
        <v>1145</v>
      </c>
      <c r="K162" s="0" t="s">
        <v>46</v>
      </c>
      <c r="L162" s="0" t="str">
        <f aca="false">HYPERLINK("https://www.ncbi.nlm.nih.gov/snp/rs147362343", "rs147362343")</f>
        <v>rs147362343</v>
      </c>
      <c r="M162" s="0" t="str">
        <f aca="false">HYPERLINK("https://www.genecards.org/Search/Keyword?queryString=%5Baliases%5D(%20SAT2%20)%20OR%20%5Baliases%5D(%20SHBG%20)&amp;keywords=SAT2,SHBG", "SAT2;SHBG")</f>
        <v>SAT2;SHBG</v>
      </c>
      <c r="N162" s="0" t="s">
        <v>63</v>
      </c>
      <c r="O162" s="0" t="s">
        <v>46</v>
      </c>
      <c r="P162" s="0" t="s">
        <v>46</v>
      </c>
      <c r="Q162" s="0" t="n">
        <v>0.0172</v>
      </c>
      <c r="R162" s="0" t="n">
        <v>0.0165</v>
      </c>
      <c r="S162" s="0" t="n">
        <v>0.0162</v>
      </c>
      <c r="T162" s="0" t="n">
        <v>-1</v>
      </c>
      <c r="U162" s="0" t="n">
        <v>0.0179</v>
      </c>
      <c r="V162" s="0" t="s">
        <v>46</v>
      </c>
      <c r="W162" s="0" t="s">
        <v>46</v>
      </c>
      <c r="X162" s="0" t="s">
        <v>49</v>
      </c>
      <c r="Y162" s="0" t="s">
        <v>64</v>
      </c>
      <c r="Z162" s="0" t="s">
        <v>46</v>
      </c>
      <c r="AA162" s="0" t="s">
        <v>46</v>
      </c>
      <c r="AB162" s="0" t="s">
        <v>46</v>
      </c>
      <c r="AC162" s="0" t="s">
        <v>52</v>
      </c>
      <c r="AD162" s="0" t="s">
        <v>182</v>
      </c>
      <c r="AE162" s="0" t="s">
        <v>1146</v>
      </c>
      <c r="AF162" s="0" t="s">
        <v>1147</v>
      </c>
      <c r="AG162" s="0" t="s">
        <v>1148</v>
      </c>
      <c r="AH162" s="0" t="s">
        <v>46</v>
      </c>
      <c r="AI162" s="0" t="s">
        <v>46</v>
      </c>
      <c r="AJ162" s="0" t="s">
        <v>46</v>
      </c>
      <c r="AK162" s="0" t="s">
        <v>46</v>
      </c>
      <c r="AL162" s="0" t="s">
        <v>46</v>
      </c>
    </row>
    <row r="163" customFormat="false" ht="15" hidden="false" customHeight="false" outlineLevel="0" collapsed="false">
      <c r="B163" s="0" t="str">
        <f aca="false">HYPERLINK("https://genome.ucsc.edu/cgi-bin/hgTracks?db=hg19&amp;position=chr17%3A8079497%2D8079497", "chr17:8079497")</f>
        <v>chr17:8079497</v>
      </c>
      <c r="C163" s="0" t="s">
        <v>372</v>
      </c>
      <c r="D163" s="0" t="n">
        <v>8079497</v>
      </c>
      <c r="E163" s="0" t="n">
        <v>8079497</v>
      </c>
      <c r="F163" s="0" t="s">
        <v>58</v>
      </c>
      <c r="G163" s="0" t="s">
        <v>40</v>
      </c>
      <c r="H163" s="0" t="s">
        <v>1149</v>
      </c>
      <c r="I163" s="0" t="s">
        <v>523</v>
      </c>
      <c r="J163" s="0" t="s">
        <v>1150</v>
      </c>
      <c r="K163" s="0" t="s">
        <v>46</v>
      </c>
      <c r="L163" s="0" t="str">
        <f aca="false">HYPERLINK("https://www.ncbi.nlm.nih.gov/snp/rs149973505", "rs149973505")</f>
        <v>rs149973505</v>
      </c>
      <c r="M163" s="0" t="str">
        <f aca="false">HYPERLINK("https://www.genecards.org/Search/Keyword?queryString=%5Baliases%5D(%20TMEM107%20)&amp;keywords=TMEM107", "TMEM107")</f>
        <v>TMEM107</v>
      </c>
      <c r="N163" s="0" t="s">
        <v>63</v>
      </c>
      <c r="O163" s="0" t="s">
        <v>46</v>
      </c>
      <c r="P163" s="0" t="s">
        <v>46</v>
      </c>
      <c r="Q163" s="0" t="n">
        <v>0.0165</v>
      </c>
      <c r="R163" s="0" t="n">
        <v>0.0166</v>
      </c>
      <c r="S163" s="0" t="n">
        <v>0.0158</v>
      </c>
      <c r="T163" s="0" t="n">
        <v>-1</v>
      </c>
      <c r="U163" s="0" t="n">
        <v>0.013</v>
      </c>
      <c r="V163" s="0" t="s">
        <v>46</v>
      </c>
      <c r="W163" s="0" t="s">
        <v>46</v>
      </c>
      <c r="X163" s="0" t="s">
        <v>385</v>
      </c>
      <c r="Y163" s="0" t="s">
        <v>64</v>
      </c>
      <c r="Z163" s="0" t="s">
        <v>46</v>
      </c>
      <c r="AA163" s="0" t="s">
        <v>46</v>
      </c>
      <c r="AB163" s="0" t="s">
        <v>46</v>
      </c>
      <c r="AC163" s="0" t="s">
        <v>52</v>
      </c>
      <c r="AD163" s="0" t="s">
        <v>53</v>
      </c>
      <c r="AE163" s="0" t="s">
        <v>1151</v>
      </c>
      <c r="AF163" s="0" t="s">
        <v>1152</v>
      </c>
      <c r="AG163" s="0" t="s">
        <v>1153</v>
      </c>
      <c r="AH163" s="0" t="s">
        <v>46</v>
      </c>
      <c r="AI163" s="0" t="s">
        <v>46</v>
      </c>
      <c r="AJ163" s="0" t="s">
        <v>46</v>
      </c>
      <c r="AK163" s="0" t="s">
        <v>46</v>
      </c>
      <c r="AL163" s="0" t="s">
        <v>46</v>
      </c>
    </row>
    <row r="164" customFormat="false" ht="15" hidden="false" customHeight="false" outlineLevel="0" collapsed="false">
      <c r="B164" s="0" t="str">
        <f aca="false">HYPERLINK("https://genome.ucsc.edu/cgi-bin/hgTracks?db=hg19&amp;position=chr17%3A16068597%2D16068597", "chr17:16068597")</f>
        <v>chr17:16068597</v>
      </c>
      <c r="C164" s="0" t="s">
        <v>372</v>
      </c>
      <c r="D164" s="0" t="n">
        <v>16068597</v>
      </c>
      <c r="E164" s="0" t="n">
        <v>16068597</v>
      </c>
      <c r="F164" s="0" t="s">
        <v>39</v>
      </c>
      <c r="G164" s="0" t="s">
        <v>40</v>
      </c>
      <c r="H164" s="0" t="s">
        <v>1154</v>
      </c>
      <c r="I164" s="0" t="s">
        <v>958</v>
      </c>
      <c r="J164" s="0" t="s">
        <v>1155</v>
      </c>
      <c r="K164" s="0" t="s">
        <v>46</v>
      </c>
      <c r="L164" s="0" t="str">
        <f aca="false">HYPERLINK("https://www.ncbi.nlm.nih.gov/snp/rs878955411", "rs878955411")</f>
        <v>rs878955411</v>
      </c>
      <c r="M164" s="0" t="str">
        <f aca="false">HYPERLINK("https://www.genecards.org/Search/Keyword?queryString=%5Baliases%5D(%20NCOR1%20)&amp;keywords=NCOR1", "NCOR1")</f>
        <v>NCOR1</v>
      </c>
      <c r="N164" s="0" t="s">
        <v>63</v>
      </c>
      <c r="O164" s="0" t="s">
        <v>46</v>
      </c>
      <c r="P164" s="0" t="s">
        <v>46</v>
      </c>
      <c r="Q164" s="0" t="n">
        <v>0.0255</v>
      </c>
      <c r="R164" s="0" t="n">
        <v>0.0013</v>
      </c>
      <c r="S164" s="0" t="n">
        <v>0.0012</v>
      </c>
      <c r="T164" s="0" t="n">
        <v>-1</v>
      </c>
      <c r="U164" s="0" t="n">
        <v>0.0014</v>
      </c>
      <c r="V164" s="0" t="s">
        <v>46</v>
      </c>
      <c r="W164" s="0" t="s">
        <v>46</v>
      </c>
      <c r="X164" s="0" t="s">
        <v>385</v>
      </c>
      <c r="Y164" s="0" t="s">
        <v>64</v>
      </c>
      <c r="Z164" s="0" t="s">
        <v>46</v>
      </c>
      <c r="AA164" s="0" t="s">
        <v>46</v>
      </c>
      <c r="AB164" s="0" t="s">
        <v>46</v>
      </c>
      <c r="AC164" s="0" t="s">
        <v>52</v>
      </c>
      <c r="AD164" s="0" t="s">
        <v>53</v>
      </c>
      <c r="AE164" s="0" t="s">
        <v>1156</v>
      </c>
      <c r="AF164" s="0" t="s">
        <v>1157</v>
      </c>
      <c r="AG164" s="0" t="s">
        <v>1158</v>
      </c>
      <c r="AH164" s="0" t="s">
        <v>46</v>
      </c>
      <c r="AI164" s="0" t="s">
        <v>46</v>
      </c>
      <c r="AJ164" s="0" t="s">
        <v>46</v>
      </c>
      <c r="AK164" s="0" t="s">
        <v>46</v>
      </c>
      <c r="AL164" s="0" t="s">
        <v>46</v>
      </c>
    </row>
    <row r="165" customFormat="false" ht="15" hidden="false" customHeight="false" outlineLevel="0" collapsed="false">
      <c r="B165" s="0" t="str">
        <f aca="false">HYPERLINK("https://genome.ucsc.edu/cgi-bin/hgTracks?db=hg19&amp;position=chr17%3A27284365%2D27284365", "chr17:27284365")</f>
        <v>chr17:27284365</v>
      </c>
      <c r="C165" s="0" t="s">
        <v>372</v>
      </c>
      <c r="D165" s="0" t="n">
        <v>27284365</v>
      </c>
      <c r="E165" s="0" t="n">
        <v>27284365</v>
      </c>
      <c r="F165" s="0" t="s">
        <v>40</v>
      </c>
      <c r="G165" s="0" t="s">
        <v>39</v>
      </c>
      <c r="H165" s="0" t="s">
        <v>1159</v>
      </c>
      <c r="I165" s="0" t="s">
        <v>437</v>
      </c>
      <c r="J165" s="0" t="s">
        <v>1160</v>
      </c>
      <c r="K165" s="0" t="s">
        <v>46</v>
      </c>
      <c r="L165" s="0" t="str">
        <f aca="false">HYPERLINK("https://www.ncbi.nlm.nih.gov/snp/rs372983528", "rs372983528")</f>
        <v>rs372983528</v>
      </c>
      <c r="M165" s="0" t="str">
        <f aca="false">HYPERLINK("https://www.genecards.org/Search/Keyword?queryString=%5Baliases%5D(%20SEZ6%20)&amp;keywords=SEZ6", "SEZ6")</f>
        <v>SEZ6</v>
      </c>
      <c r="N165" s="0" t="s">
        <v>45</v>
      </c>
      <c r="O165" s="0" t="s">
        <v>46</v>
      </c>
      <c r="P165" s="0" t="s">
        <v>1161</v>
      </c>
      <c r="Q165" s="0" t="n">
        <v>0.0003</v>
      </c>
      <c r="R165" s="0" t="n">
        <v>0.0004</v>
      </c>
      <c r="S165" s="0" t="n">
        <v>-1</v>
      </c>
      <c r="T165" s="0" t="n">
        <v>-1</v>
      </c>
      <c r="U165" s="0" t="n">
        <v>-1</v>
      </c>
      <c r="V165" s="0" t="s">
        <v>48</v>
      </c>
      <c r="W165" s="0" t="s">
        <v>49</v>
      </c>
      <c r="X165" s="0" t="s">
        <v>49</v>
      </c>
      <c r="Y165" s="0" t="s">
        <v>50</v>
      </c>
      <c r="Z165" s="0" t="s">
        <v>250</v>
      </c>
      <c r="AA165" s="0" t="s">
        <v>46</v>
      </c>
      <c r="AB165" s="0" t="s">
        <v>46</v>
      </c>
      <c r="AC165" s="0" t="s">
        <v>52</v>
      </c>
      <c r="AD165" s="0" t="s">
        <v>53</v>
      </c>
      <c r="AE165" s="0" t="s">
        <v>1162</v>
      </c>
      <c r="AF165" s="0" t="s">
        <v>1163</v>
      </c>
      <c r="AG165" s="0" t="s">
        <v>1164</v>
      </c>
      <c r="AH165" s="0" t="s">
        <v>46</v>
      </c>
      <c r="AI165" s="0" t="s">
        <v>46</v>
      </c>
      <c r="AJ165" s="0" t="s">
        <v>46</v>
      </c>
      <c r="AK165" s="0" t="s">
        <v>46</v>
      </c>
      <c r="AL165" s="0" t="s">
        <v>46</v>
      </c>
    </row>
    <row r="166" customFormat="false" ht="15" hidden="false" customHeight="false" outlineLevel="0" collapsed="false">
      <c r="B166" s="0" t="str">
        <f aca="false">HYPERLINK("https://genome.ucsc.edu/cgi-bin/hgTracks?db=hg19&amp;position=chr17%3A40465398%2D40465398", "chr17:40465398")</f>
        <v>chr17:40465398</v>
      </c>
      <c r="C166" s="0" t="s">
        <v>372</v>
      </c>
      <c r="D166" s="0" t="n">
        <v>40465398</v>
      </c>
      <c r="E166" s="0" t="n">
        <v>40465398</v>
      </c>
      <c r="F166" s="0" t="s">
        <v>72</v>
      </c>
      <c r="G166" s="0" t="s">
        <v>312</v>
      </c>
      <c r="H166" s="0" t="s">
        <v>1165</v>
      </c>
      <c r="I166" s="0" t="s">
        <v>1166</v>
      </c>
      <c r="J166" s="0" t="s">
        <v>1167</v>
      </c>
      <c r="K166" s="0" t="s">
        <v>46</v>
      </c>
      <c r="L166" s="0" t="str">
        <f aca="false">HYPERLINK("https://www.ncbi.nlm.nih.gov/snp/rs397857989", "rs397857989")</f>
        <v>rs397857989</v>
      </c>
      <c r="M166" s="0" t="str">
        <f aca="false">HYPERLINK("https://www.genecards.org/Search/Keyword?queryString=%5Baliases%5D(%20AK024535%20)%20OR%20%5Baliases%5D(%20STAT3%20)&amp;keywords=AK024535,STAT3", "AK024535;STAT3")</f>
        <v>AK024535;STAT3</v>
      </c>
      <c r="N166" s="0" t="s">
        <v>997</v>
      </c>
      <c r="O166" s="0" t="s">
        <v>46</v>
      </c>
      <c r="P166" s="0" t="s">
        <v>1168</v>
      </c>
      <c r="Q166" s="0" t="n">
        <v>0.0227</v>
      </c>
      <c r="R166" s="0" t="n">
        <v>-1</v>
      </c>
      <c r="S166" s="0" t="n">
        <v>-1</v>
      </c>
      <c r="T166" s="0" t="n">
        <v>-1</v>
      </c>
      <c r="U166" s="0" t="n">
        <v>-1</v>
      </c>
      <c r="V166" s="0" t="s">
        <v>46</v>
      </c>
      <c r="W166" s="0" t="s">
        <v>46</v>
      </c>
      <c r="X166" s="0" t="s">
        <v>46</v>
      </c>
      <c r="Y166" s="0" t="s">
        <v>46</v>
      </c>
      <c r="Z166" s="0" t="s">
        <v>46</v>
      </c>
      <c r="AA166" s="0" t="s">
        <v>46</v>
      </c>
      <c r="AB166" s="0" t="s">
        <v>46</v>
      </c>
      <c r="AC166" s="0" t="s">
        <v>52</v>
      </c>
      <c r="AD166" s="0" t="s">
        <v>182</v>
      </c>
      <c r="AE166" s="0" t="s">
        <v>1169</v>
      </c>
      <c r="AF166" s="0" t="s">
        <v>1170</v>
      </c>
      <c r="AG166" s="0" t="s">
        <v>1171</v>
      </c>
      <c r="AH166" s="0" t="s">
        <v>1172</v>
      </c>
      <c r="AI166" s="0" t="s">
        <v>46</v>
      </c>
      <c r="AJ166" s="0" t="s">
        <v>46</v>
      </c>
      <c r="AK166" s="0" t="s">
        <v>46</v>
      </c>
      <c r="AL166" s="0" t="s">
        <v>46</v>
      </c>
    </row>
    <row r="167" customFormat="false" ht="15" hidden="false" customHeight="false" outlineLevel="0" collapsed="false">
      <c r="B167" s="0" t="str">
        <f aca="false">HYPERLINK("https://genome.ucsc.edu/cgi-bin/hgTracks?db=hg19&amp;position=chr17%3A46022825%2D46022825", "chr17:46022825")</f>
        <v>chr17:46022825</v>
      </c>
      <c r="C167" s="0" t="s">
        <v>372</v>
      </c>
      <c r="D167" s="0" t="n">
        <v>46022825</v>
      </c>
      <c r="E167" s="0" t="n">
        <v>46022825</v>
      </c>
      <c r="F167" s="0" t="s">
        <v>39</v>
      </c>
      <c r="G167" s="0" t="s">
        <v>312</v>
      </c>
      <c r="H167" s="0" t="s">
        <v>1173</v>
      </c>
      <c r="I167" s="0" t="s">
        <v>1174</v>
      </c>
      <c r="J167" s="0" t="s">
        <v>1175</v>
      </c>
      <c r="K167" s="0" t="s">
        <v>46</v>
      </c>
      <c r="L167" s="0" t="str">
        <f aca="false">HYPERLINK("https://www.ncbi.nlm.nih.gov/snp/rs61165779", "rs61165779")</f>
        <v>rs61165779</v>
      </c>
      <c r="M167" s="0" t="str">
        <f aca="false">HYPERLINK("https://www.genecards.org/Search/Keyword?queryString=%5Baliases%5D(%20PNPO%20)&amp;keywords=PNPO", "PNPO")</f>
        <v>PNPO</v>
      </c>
      <c r="N167" s="0" t="s">
        <v>366</v>
      </c>
      <c r="O167" s="0" t="s">
        <v>46</v>
      </c>
      <c r="P167" s="0" t="s">
        <v>46</v>
      </c>
      <c r="Q167" s="0" t="n">
        <v>0.011494</v>
      </c>
      <c r="R167" s="0" t="n">
        <v>0.0097</v>
      </c>
      <c r="S167" s="0" t="n">
        <v>0.0091</v>
      </c>
      <c r="T167" s="0" t="n">
        <v>-1</v>
      </c>
      <c r="U167" s="0" t="n">
        <v>0.0127</v>
      </c>
      <c r="V167" s="0" t="s">
        <v>46</v>
      </c>
      <c r="W167" s="0" t="s">
        <v>46</v>
      </c>
      <c r="X167" s="0" t="s">
        <v>46</v>
      </c>
      <c r="Y167" s="0" t="s">
        <v>46</v>
      </c>
      <c r="Z167" s="0" t="s">
        <v>46</v>
      </c>
      <c r="AA167" s="0" t="s">
        <v>46</v>
      </c>
      <c r="AB167" s="0" t="s">
        <v>46</v>
      </c>
      <c r="AC167" s="0" t="s">
        <v>52</v>
      </c>
      <c r="AD167" s="0" t="s">
        <v>53</v>
      </c>
      <c r="AE167" s="0" t="s">
        <v>1176</v>
      </c>
      <c r="AF167" s="0" t="s">
        <v>1177</v>
      </c>
      <c r="AG167" s="0" t="s">
        <v>1178</v>
      </c>
      <c r="AH167" s="0" t="s">
        <v>1179</v>
      </c>
      <c r="AI167" s="0" t="s">
        <v>46</v>
      </c>
      <c r="AJ167" s="0" t="s">
        <v>46</v>
      </c>
      <c r="AK167" s="0" t="s">
        <v>46</v>
      </c>
      <c r="AL167" s="0" t="s">
        <v>46</v>
      </c>
    </row>
    <row r="168" customFormat="false" ht="15" hidden="false" customHeight="false" outlineLevel="0" collapsed="false">
      <c r="B168" s="0" t="str">
        <f aca="false">HYPERLINK("https://genome.ucsc.edu/cgi-bin/hgTracks?db=hg19&amp;position=chr17%3A60023982%2D60023982", "chr17:60023982")</f>
        <v>chr17:60023982</v>
      </c>
      <c r="C168" s="0" t="s">
        <v>372</v>
      </c>
      <c r="D168" s="0" t="n">
        <v>60023982</v>
      </c>
      <c r="E168" s="0" t="n">
        <v>60023982</v>
      </c>
      <c r="F168" s="0" t="s">
        <v>72</v>
      </c>
      <c r="G168" s="0" t="s">
        <v>40</v>
      </c>
      <c r="H168" s="0" t="s">
        <v>1180</v>
      </c>
      <c r="I168" s="0" t="s">
        <v>1181</v>
      </c>
      <c r="J168" s="0" t="s">
        <v>1182</v>
      </c>
      <c r="K168" s="0" t="s">
        <v>46</v>
      </c>
      <c r="L168" s="0" t="str">
        <f aca="false">HYPERLINK("https://www.ncbi.nlm.nih.gov/snp/rs202087016", "rs202087016")</f>
        <v>rs202087016</v>
      </c>
      <c r="M168" s="0" t="str">
        <f aca="false">HYPERLINK("https://www.genecards.org/Search/Keyword?queryString=%5Baliases%5D(%20MED13%20)&amp;keywords=MED13", "MED13")</f>
        <v>MED13</v>
      </c>
      <c r="N168" s="0" t="s">
        <v>63</v>
      </c>
      <c r="O168" s="0" t="s">
        <v>46</v>
      </c>
      <c r="P168" s="0" t="s">
        <v>46</v>
      </c>
      <c r="Q168" s="0" t="n">
        <v>0.002</v>
      </c>
      <c r="R168" s="0" t="n">
        <v>0.0014</v>
      </c>
      <c r="S168" s="0" t="n">
        <v>0.0013</v>
      </c>
      <c r="T168" s="0" t="n">
        <v>-1</v>
      </c>
      <c r="U168" s="0" t="n">
        <v>0.002</v>
      </c>
      <c r="V168" s="0" t="s">
        <v>46</v>
      </c>
      <c r="W168" s="0" t="s">
        <v>46</v>
      </c>
      <c r="X168" s="0" t="s">
        <v>385</v>
      </c>
      <c r="Y168" s="0" t="s">
        <v>64</v>
      </c>
      <c r="Z168" s="0" t="s">
        <v>46</v>
      </c>
      <c r="AA168" s="0" t="s">
        <v>46</v>
      </c>
      <c r="AB168" s="0" t="s">
        <v>46</v>
      </c>
      <c r="AC168" s="0" t="s">
        <v>52</v>
      </c>
      <c r="AD168" s="0" t="s">
        <v>53</v>
      </c>
      <c r="AE168" s="0" t="s">
        <v>1183</v>
      </c>
      <c r="AF168" s="0" t="s">
        <v>1184</v>
      </c>
      <c r="AG168" s="0" t="s">
        <v>1185</v>
      </c>
      <c r="AH168" s="0" t="s">
        <v>46</v>
      </c>
      <c r="AI168" s="0" t="s">
        <v>46</v>
      </c>
      <c r="AJ168" s="0" t="s">
        <v>46</v>
      </c>
      <c r="AK168" s="0" t="s">
        <v>46</v>
      </c>
      <c r="AL168" s="0" t="s">
        <v>46</v>
      </c>
    </row>
    <row r="169" customFormat="false" ht="15" hidden="false" customHeight="false" outlineLevel="0" collapsed="false">
      <c r="B169" s="0" t="str">
        <f aca="false">HYPERLINK("https://genome.ucsc.edu/cgi-bin/hgTracks?db=hg19&amp;position=chr17%3A61565729%2D61565729", "chr17:61565729")</f>
        <v>chr17:61565729</v>
      </c>
      <c r="C169" s="0" t="s">
        <v>372</v>
      </c>
      <c r="D169" s="0" t="n">
        <v>61565729</v>
      </c>
      <c r="E169" s="0" t="n">
        <v>61565729</v>
      </c>
      <c r="F169" s="0" t="s">
        <v>72</v>
      </c>
      <c r="G169" s="0" t="s">
        <v>58</v>
      </c>
      <c r="H169" s="0" t="s">
        <v>1186</v>
      </c>
      <c r="I169" s="0" t="s">
        <v>666</v>
      </c>
      <c r="J169" s="0" t="s">
        <v>1187</v>
      </c>
      <c r="K169" s="0" t="s">
        <v>46</v>
      </c>
      <c r="L169" s="0" t="s">
        <v>46</v>
      </c>
      <c r="M169" s="0" t="str">
        <f aca="false">HYPERLINK("https://www.genecards.org/Search/Keyword?queryString=%5Baliases%5D(%20ACE%20)&amp;keywords=ACE", "ACE")</f>
        <v>ACE</v>
      </c>
      <c r="N169" s="0" t="s">
        <v>63</v>
      </c>
      <c r="O169" s="0" t="s">
        <v>46</v>
      </c>
      <c r="P169" s="0" t="s">
        <v>46</v>
      </c>
      <c r="Q169" s="0" t="n">
        <v>0.0004</v>
      </c>
      <c r="R169" s="0" t="n">
        <v>0.0003</v>
      </c>
      <c r="S169" s="0" t="n">
        <v>8.161E-005</v>
      </c>
      <c r="T169" s="0" t="n">
        <v>-1</v>
      </c>
      <c r="U169" s="0" t="n">
        <v>0.0002</v>
      </c>
      <c r="V169" s="0" t="s">
        <v>46</v>
      </c>
      <c r="W169" s="0" t="s">
        <v>46</v>
      </c>
      <c r="X169" s="0" t="s">
        <v>49</v>
      </c>
      <c r="Y169" s="0" t="s">
        <v>64</v>
      </c>
      <c r="Z169" s="0" t="s">
        <v>46</v>
      </c>
      <c r="AA169" s="0" t="s">
        <v>46</v>
      </c>
      <c r="AB169" s="0" t="s">
        <v>46</v>
      </c>
      <c r="AC169" s="0" t="s">
        <v>52</v>
      </c>
      <c r="AD169" s="0" t="s">
        <v>53</v>
      </c>
      <c r="AE169" s="0" t="s">
        <v>1188</v>
      </c>
      <c r="AF169" s="0" t="s">
        <v>1189</v>
      </c>
      <c r="AG169" s="0" t="s">
        <v>1190</v>
      </c>
      <c r="AH169" s="0" t="s">
        <v>1191</v>
      </c>
      <c r="AI169" s="0" t="s">
        <v>46</v>
      </c>
      <c r="AJ169" s="0" t="s">
        <v>46</v>
      </c>
      <c r="AK169" s="0" t="s">
        <v>46</v>
      </c>
      <c r="AL169" s="0" t="s">
        <v>46</v>
      </c>
    </row>
    <row r="170" customFormat="false" ht="15" hidden="false" customHeight="false" outlineLevel="0" collapsed="false">
      <c r="B170" s="0" t="str">
        <f aca="false">HYPERLINK("https://genome.ucsc.edu/cgi-bin/hgTracks?db=hg19&amp;position=chr17%3A64683064%2D64683064", "chr17:64683064")</f>
        <v>chr17:64683064</v>
      </c>
      <c r="C170" s="0" t="s">
        <v>372</v>
      </c>
      <c r="D170" s="0" t="n">
        <v>64683064</v>
      </c>
      <c r="E170" s="0" t="n">
        <v>64683064</v>
      </c>
      <c r="F170" s="0" t="s">
        <v>58</v>
      </c>
      <c r="G170" s="0" t="s">
        <v>72</v>
      </c>
      <c r="H170" s="0" t="s">
        <v>1192</v>
      </c>
      <c r="I170" s="0" t="s">
        <v>819</v>
      </c>
      <c r="J170" s="0" t="s">
        <v>888</v>
      </c>
      <c r="K170" s="0" t="s">
        <v>46</v>
      </c>
      <c r="L170" s="0" t="str">
        <f aca="false">HYPERLINK("https://www.ncbi.nlm.nih.gov/snp/rs185346126", "rs185346126")</f>
        <v>rs185346126</v>
      </c>
      <c r="M170" s="0" t="str">
        <f aca="false">HYPERLINK("https://www.genecards.org/Search/Keyword?queryString=%5Baliases%5D(%20PRKCA%20)&amp;keywords=PRKCA", "PRKCA")</f>
        <v>PRKCA</v>
      </c>
      <c r="N170" s="0" t="s">
        <v>63</v>
      </c>
      <c r="O170" s="0" t="s">
        <v>46</v>
      </c>
      <c r="P170" s="0" t="s">
        <v>46</v>
      </c>
      <c r="Q170" s="0" t="n">
        <v>0.0056</v>
      </c>
      <c r="R170" s="0" t="n">
        <v>0.005</v>
      </c>
      <c r="S170" s="0" t="n">
        <v>0.0055</v>
      </c>
      <c r="T170" s="0" t="n">
        <v>-1</v>
      </c>
      <c r="U170" s="0" t="n">
        <v>0.0045</v>
      </c>
      <c r="V170" s="0" t="s">
        <v>46</v>
      </c>
      <c r="W170" s="0" t="s">
        <v>46</v>
      </c>
      <c r="X170" s="0" t="s">
        <v>385</v>
      </c>
      <c r="Y170" s="0" t="s">
        <v>64</v>
      </c>
      <c r="Z170" s="0" t="s">
        <v>46</v>
      </c>
      <c r="AA170" s="0" t="s">
        <v>46</v>
      </c>
      <c r="AB170" s="0" t="s">
        <v>46</v>
      </c>
      <c r="AC170" s="0" t="s">
        <v>52</v>
      </c>
      <c r="AD170" s="0" t="s">
        <v>53</v>
      </c>
      <c r="AE170" s="0" t="s">
        <v>1193</v>
      </c>
      <c r="AF170" s="0" t="s">
        <v>1194</v>
      </c>
      <c r="AG170" s="0" t="s">
        <v>1195</v>
      </c>
      <c r="AH170" s="0" t="s">
        <v>46</v>
      </c>
      <c r="AI170" s="0" t="s">
        <v>46</v>
      </c>
      <c r="AJ170" s="0" t="s">
        <v>46</v>
      </c>
      <c r="AK170" s="0" t="s">
        <v>46</v>
      </c>
      <c r="AL170" s="0" t="s">
        <v>46</v>
      </c>
    </row>
    <row r="171" customFormat="false" ht="15" hidden="false" customHeight="false" outlineLevel="0" collapsed="false">
      <c r="B171" s="0" t="str">
        <f aca="false">HYPERLINK("https://genome.ucsc.edu/cgi-bin/hgTracks?db=hg19&amp;position=chr17%3A80092190%2D80092190", "chr17:80092190")</f>
        <v>chr17:80092190</v>
      </c>
      <c r="C171" s="0" t="s">
        <v>372</v>
      </c>
      <c r="D171" s="0" t="n">
        <v>80092190</v>
      </c>
      <c r="E171" s="0" t="n">
        <v>80092190</v>
      </c>
      <c r="F171" s="0" t="s">
        <v>39</v>
      </c>
      <c r="G171" s="0" t="s">
        <v>40</v>
      </c>
      <c r="H171" s="0" t="s">
        <v>1196</v>
      </c>
      <c r="I171" s="0" t="s">
        <v>1197</v>
      </c>
      <c r="J171" s="0" t="s">
        <v>1198</v>
      </c>
      <c r="K171" s="0" t="s">
        <v>46</v>
      </c>
      <c r="L171" s="0" t="str">
        <f aca="false">HYPERLINK("https://www.ncbi.nlm.nih.gov/snp/rs117977443", "rs117977443")</f>
        <v>rs117977443</v>
      </c>
      <c r="M171" s="0" t="str">
        <f aca="false">HYPERLINK("https://www.genecards.org/Search/Keyword?queryString=%5Baliases%5D(%20CCDC57%20)&amp;keywords=CCDC57", "CCDC57")</f>
        <v>CCDC57</v>
      </c>
      <c r="N171" s="0" t="s">
        <v>63</v>
      </c>
      <c r="O171" s="0" t="s">
        <v>46</v>
      </c>
      <c r="P171" s="0" t="s">
        <v>46</v>
      </c>
      <c r="Q171" s="0" t="n">
        <v>0.0086</v>
      </c>
      <c r="R171" s="0" t="n">
        <v>0.0049</v>
      </c>
      <c r="S171" s="0" t="n">
        <v>0.0054</v>
      </c>
      <c r="T171" s="0" t="n">
        <v>-1</v>
      </c>
      <c r="U171" s="0" t="n">
        <v>0.0041</v>
      </c>
      <c r="V171" s="0" t="s">
        <v>46</v>
      </c>
      <c r="W171" s="0" t="s">
        <v>46</v>
      </c>
      <c r="X171" s="0" t="s">
        <v>385</v>
      </c>
      <c r="Y171" s="0" t="s">
        <v>64</v>
      </c>
      <c r="Z171" s="0" t="s">
        <v>46</v>
      </c>
      <c r="AA171" s="0" t="s">
        <v>46</v>
      </c>
      <c r="AB171" s="0" t="s">
        <v>46</v>
      </c>
      <c r="AC171" s="0" t="s">
        <v>52</v>
      </c>
      <c r="AD171" s="0" t="s">
        <v>53</v>
      </c>
      <c r="AE171" s="0" t="s">
        <v>1199</v>
      </c>
      <c r="AF171" s="0" t="s">
        <v>1200</v>
      </c>
      <c r="AG171" s="0" t="s">
        <v>46</v>
      </c>
      <c r="AH171" s="0" t="s">
        <v>46</v>
      </c>
      <c r="AI171" s="0" t="s">
        <v>46</v>
      </c>
      <c r="AJ171" s="0" t="s">
        <v>46</v>
      </c>
      <c r="AK171" s="0" t="s">
        <v>46</v>
      </c>
      <c r="AL171" s="0" t="s">
        <v>46</v>
      </c>
    </row>
    <row r="172" s="2" customFormat="true" ht="15" hidden="false" customHeight="false" outlineLevel="0" collapsed="false">
      <c r="B172" s="2" t="str">
        <f aca="false">HYPERLINK("https://genome.ucsc.edu/cgi-bin/hgTracks?db=hg19&amp;position=chr18%3A2951449%2D2951449", "chr18:2951449")</f>
        <v>chr18:2951449</v>
      </c>
      <c r="C172" s="2" t="s">
        <v>398</v>
      </c>
      <c r="D172" s="2" t="n">
        <v>2951449</v>
      </c>
      <c r="E172" s="2" t="n">
        <v>2951449</v>
      </c>
      <c r="F172" s="2" t="s">
        <v>72</v>
      </c>
      <c r="G172" s="2" t="s">
        <v>312</v>
      </c>
      <c r="H172" s="2" t="s">
        <v>1201</v>
      </c>
      <c r="I172" s="2" t="s">
        <v>1202</v>
      </c>
      <c r="J172" s="2" t="s">
        <v>1203</v>
      </c>
      <c r="K172" s="2" t="s">
        <v>46</v>
      </c>
      <c r="L172" s="2" t="s">
        <v>46</v>
      </c>
      <c r="M172" s="2" t="str">
        <f aca="false">HYPERLINK("https://www.genecards.org/Search/Keyword?queryString=%5Baliases%5D(%20LPIN2%20)&amp;keywords=LPIN2", "LPIN2")</f>
        <v>LPIN2</v>
      </c>
      <c r="N172" s="2" t="s">
        <v>366</v>
      </c>
      <c r="O172" s="2" t="s">
        <v>46</v>
      </c>
      <c r="P172" s="2" t="s">
        <v>46</v>
      </c>
      <c r="Q172" s="2" t="n">
        <v>-1</v>
      </c>
      <c r="R172" s="2" t="n">
        <v>-1</v>
      </c>
      <c r="S172" s="2" t="n">
        <v>-1</v>
      </c>
      <c r="T172" s="2" t="n">
        <v>-1</v>
      </c>
      <c r="U172" s="2" t="n">
        <v>-1</v>
      </c>
      <c r="V172" s="2" t="s">
        <v>46</v>
      </c>
      <c r="W172" s="2" t="s">
        <v>46</v>
      </c>
      <c r="X172" s="2" t="s">
        <v>46</v>
      </c>
      <c r="Y172" s="2" t="s">
        <v>46</v>
      </c>
      <c r="Z172" s="2" t="s">
        <v>46</v>
      </c>
      <c r="AA172" s="2" t="s">
        <v>46</v>
      </c>
      <c r="AB172" s="2" t="s">
        <v>46</v>
      </c>
      <c r="AC172" s="2" t="s">
        <v>319</v>
      </c>
      <c r="AD172" s="2" t="s">
        <v>53</v>
      </c>
      <c r="AE172" s="2" t="s">
        <v>1204</v>
      </c>
      <c r="AF172" s="2" t="s">
        <v>1205</v>
      </c>
      <c r="AG172" s="2" t="s">
        <v>1206</v>
      </c>
      <c r="AH172" s="2" t="s">
        <v>1207</v>
      </c>
      <c r="AI172" s="2" t="s">
        <v>46</v>
      </c>
      <c r="AJ172" s="2" t="s">
        <v>46</v>
      </c>
      <c r="AK172" s="2" t="s">
        <v>46</v>
      </c>
      <c r="AL172" s="2" t="s">
        <v>46</v>
      </c>
    </row>
    <row r="173" customFormat="false" ht="15" hidden="false" customHeight="false" outlineLevel="0" collapsed="false">
      <c r="B173" s="0" t="str">
        <f aca="false">HYPERLINK("https://genome.ucsc.edu/cgi-bin/hgTracks?db=hg19&amp;position=chr18%3A6956505%2D6956510", "chr18:6956505")</f>
        <v>chr18:6956505</v>
      </c>
      <c r="C173" s="0" t="s">
        <v>398</v>
      </c>
      <c r="D173" s="0" t="n">
        <v>6956505</v>
      </c>
      <c r="E173" s="0" t="n">
        <v>6956510</v>
      </c>
      <c r="F173" s="0" t="s">
        <v>1208</v>
      </c>
      <c r="G173" s="0" t="s">
        <v>312</v>
      </c>
      <c r="H173" s="0" t="s">
        <v>1209</v>
      </c>
      <c r="I173" s="0" t="s">
        <v>1210</v>
      </c>
      <c r="J173" s="0" t="s">
        <v>1211</v>
      </c>
      <c r="K173" s="0" t="s">
        <v>46</v>
      </c>
      <c r="L173" s="0" t="str">
        <f aca="false">HYPERLINK("https://www.ncbi.nlm.nih.gov/snp/rs374998825", "rs374998825")</f>
        <v>rs374998825</v>
      </c>
      <c r="M173" s="0" t="str">
        <f aca="false">HYPERLINK("https://www.genecards.org/Search/Keyword?queryString=%5Baliases%5D(%20LAMA1%20)%20OR%20%5Baliases%5D(%20LOC101927188%20)&amp;keywords=LAMA1,LOC101927188", "LAMA1;LOC101927188")</f>
        <v>LAMA1;LOC101927188</v>
      </c>
      <c r="N173" s="0" t="s">
        <v>609</v>
      </c>
      <c r="O173" s="0" t="s">
        <v>46</v>
      </c>
      <c r="P173" s="0" t="s">
        <v>46</v>
      </c>
      <c r="Q173" s="0" t="n">
        <v>0.024476</v>
      </c>
      <c r="R173" s="0" t="n">
        <v>0.0153</v>
      </c>
      <c r="S173" s="0" t="n">
        <v>0.0133</v>
      </c>
      <c r="T173" s="0" t="n">
        <v>-1</v>
      </c>
      <c r="U173" s="0" t="n">
        <v>0.0144</v>
      </c>
      <c r="V173" s="0" t="s">
        <v>46</v>
      </c>
      <c r="W173" s="0" t="s">
        <v>46</v>
      </c>
      <c r="X173" s="0" t="s">
        <v>46</v>
      </c>
      <c r="Y173" s="0" t="s">
        <v>46</v>
      </c>
      <c r="Z173" s="0" t="s">
        <v>46</v>
      </c>
      <c r="AA173" s="0" t="s">
        <v>46</v>
      </c>
      <c r="AB173" s="0" t="s">
        <v>46</v>
      </c>
      <c r="AC173" s="0" t="s">
        <v>52</v>
      </c>
      <c r="AD173" s="0" t="s">
        <v>182</v>
      </c>
      <c r="AE173" s="0" t="s">
        <v>1212</v>
      </c>
      <c r="AF173" s="0" t="s">
        <v>1213</v>
      </c>
      <c r="AG173" s="0" t="s">
        <v>1214</v>
      </c>
      <c r="AH173" s="0" t="s">
        <v>1215</v>
      </c>
      <c r="AI173" s="0" t="s">
        <v>46</v>
      </c>
      <c r="AJ173" s="0" t="s">
        <v>46</v>
      </c>
      <c r="AK173" s="0" t="s">
        <v>46</v>
      </c>
      <c r="AL173" s="0" t="s">
        <v>46</v>
      </c>
    </row>
    <row r="174" customFormat="false" ht="15" hidden="false" customHeight="false" outlineLevel="0" collapsed="false">
      <c r="B174" s="0" t="str">
        <f aca="false">HYPERLINK("https://genome.ucsc.edu/cgi-bin/hgTracks?db=hg19&amp;position=chr18%3A8786117%2D8786117", "chr18:8786117")</f>
        <v>chr18:8786117</v>
      </c>
      <c r="C174" s="0" t="s">
        <v>398</v>
      </c>
      <c r="D174" s="0" t="n">
        <v>8786117</v>
      </c>
      <c r="E174" s="0" t="n">
        <v>8786117</v>
      </c>
      <c r="F174" s="0" t="s">
        <v>312</v>
      </c>
      <c r="G174" s="0" t="s">
        <v>1216</v>
      </c>
      <c r="H174" s="0" t="s">
        <v>1217</v>
      </c>
      <c r="I174" s="0" t="s">
        <v>1197</v>
      </c>
      <c r="J174" s="0" t="s">
        <v>1218</v>
      </c>
      <c r="K174" s="0" t="s">
        <v>46</v>
      </c>
      <c r="L174" s="0" t="s">
        <v>46</v>
      </c>
      <c r="M174" s="0" t="str">
        <f aca="false">HYPERLINK("https://www.genecards.org/Search/Keyword?queryString=%5Baliases%5D(%20MTCL1%20)%20OR%20%5Baliases%5D(%20SOGA2%20)&amp;keywords=MTCL1,SOGA2", "MTCL1;SOGA2")</f>
        <v>MTCL1;SOGA2</v>
      </c>
      <c r="N174" s="0" t="s">
        <v>601</v>
      </c>
      <c r="O174" s="0" t="s">
        <v>357</v>
      </c>
      <c r="P174" s="0" t="s">
        <v>1219</v>
      </c>
      <c r="Q174" s="0" t="n">
        <v>0.0252</v>
      </c>
      <c r="R174" s="0" t="n">
        <v>0.0258</v>
      </c>
      <c r="S174" s="0" t="n">
        <v>0.0252</v>
      </c>
      <c r="T174" s="0" t="n">
        <v>-1</v>
      </c>
      <c r="U174" s="0" t="n">
        <v>0.0177</v>
      </c>
      <c r="V174" s="0" t="s">
        <v>46</v>
      </c>
      <c r="W174" s="0" t="s">
        <v>46</v>
      </c>
      <c r="X174" s="0" t="s">
        <v>46</v>
      </c>
      <c r="Y174" s="0" t="s">
        <v>46</v>
      </c>
      <c r="Z174" s="0" t="s">
        <v>46</v>
      </c>
      <c r="AA174" s="0" t="s">
        <v>46</v>
      </c>
      <c r="AB174" s="0" t="s">
        <v>46</v>
      </c>
      <c r="AC174" s="0" t="s">
        <v>319</v>
      </c>
      <c r="AD174" s="0" t="s">
        <v>182</v>
      </c>
      <c r="AE174" s="0" t="s">
        <v>46</v>
      </c>
      <c r="AF174" s="0" t="s">
        <v>1220</v>
      </c>
      <c r="AG174" s="0" t="s">
        <v>1221</v>
      </c>
      <c r="AH174" s="0" t="s">
        <v>46</v>
      </c>
      <c r="AI174" s="0" t="s">
        <v>46</v>
      </c>
      <c r="AJ174" s="0" t="s">
        <v>46</v>
      </c>
      <c r="AK174" s="0" t="s">
        <v>46</v>
      </c>
      <c r="AL174" s="0" t="s">
        <v>46</v>
      </c>
    </row>
    <row r="175" customFormat="false" ht="15" hidden="false" customHeight="false" outlineLevel="0" collapsed="false">
      <c r="B175" s="0" t="str">
        <f aca="false">HYPERLINK("https://genome.ucsc.edu/cgi-bin/hgTracks?db=hg19&amp;position=chr18%3A13746143%2D13746143", "chr18:13746143")</f>
        <v>chr18:13746143</v>
      </c>
      <c r="C175" s="0" t="s">
        <v>398</v>
      </c>
      <c r="D175" s="0" t="n">
        <v>13746143</v>
      </c>
      <c r="E175" s="0" t="n">
        <v>13746143</v>
      </c>
      <c r="F175" s="0" t="s">
        <v>39</v>
      </c>
      <c r="G175" s="0" t="s">
        <v>40</v>
      </c>
      <c r="H175" s="0" t="s">
        <v>1222</v>
      </c>
      <c r="I175" s="0" t="s">
        <v>1144</v>
      </c>
      <c r="J175" s="0" t="s">
        <v>1223</v>
      </c>
      <c r="K175" s="0" t="s">
        <v>46</v>
      </c>
      <c r="L175" s="0" t="str">
        <f aca="false">HYPERLINK("https://www.ncbi.nlm.nih.gov/snp/rs117831998", "rs117831998")</f>
        <v>rs117831998</v>
      </c>
      <c r="M175" s="0" t="str">
        <f aca="false">HYPERLINK("https://www.genecards.org/Search/Keyword?queryString=%5Baliases%5D(%20RNMT%20)&amp;keywords=RNMT", "RNMT")</f>
        <v>RNMT</v>
      </c>
      <c r="N175" s="0" t="s">
        <v>63</v>
      </c>
      <c r="O175" s="0" t="s">
        <v>46</v>
      </c>
      <c r="P175" s="0" t="s">
        <v>46</v>
      </c>
      <c r="Q175" s="0" t="n">
        <v>0.0241</v>
      </c>
      <c r="R175" s="0" t="n">
        <v>0.0132</v>
      </c>
      <c r="S175" s="0" t="n">
        <v>0.0112</v>
      </c>
      <c r="T175" s="0" t="n">
        <v>-1</v>
      </c>
      <c r="U175" s="0" t="n">
        <v>0.0179</v>
      </c>
      <c r="V175" s="0" t="s">
        <v>46</v>
      </c>
      <c r="W175" s="0" t="s">
        <v>46</v>
      </c>
      <c r="X175" s="0" t="s">
        <v>385</v>
      </c>
      <c r="Y175" s="0" t="s">
        <v>64</v>
      </c>
      <c r="Z175" s="0" t="s">
        <v>46</v>
      </c>
      <c r="AA175" s="0" t="s">
        <v>46</v>
      </c>
      <c r="AB175" s="0" t="s">
        <v>46</v>
      </c>
      <c r="AC175" s="0" t="s">
        <v>52</v>
      </c>
      <c r="AD175" s="0" t="s">
        <v>53</v>
      </c>
      <c r="AE175" s="0" t="s">
        <v>1224</v>
      </c>
      <c r="AF175" s="0" t="s">
        <v>1225</v>
      </c>
      <c r="AG175" s="0" t="s">
        <v>1226</v>
      </c>
      <c r="AH175" s="0" t="s">
        <v>46</v>
      </c>
      <c r="AI175" s="0" t="s">
        <v>46</v>
      </c>
      <c r="AJ175" s="0" t="s">
        <v>46</v>
      </c>
      <c r="AK175" s="0" t="s">
        <v>46</v>
      </c>
      <c r="AL175" s="0" t="s">
        <v>46</v>
      </c>
    </row>
    <row r="176" customFormat="false" ht="15" hidden="false" customHeight="false" outlineLevel="0" collapsed="false">
      <c r="B176" s="0" t="str">
        <f aca="false">HYPERLINK("https://genome.ucsc.edu/cgi-bin/hgTracks?db=hg19&amp;position=chr18%3A19359313%2D19359313", "chr18:19359313")</f>
        <v>chr18:19359313</v>
      </c>
      <c r="C176" s="0" t="s">
        <v>398</v>
      </c>
      <c r="D176" s="0" t="n">
        <v>19359313</v>
      </c>
      <c r="E176" s="0" t="n">
        <v>19359313</v>
      </c>
      <c r="F176" s="0" t="s">
        <v>72</v>
      </c>
      <c r="G176" s="0" t="s">
        <v>58</v>
      </c>
      <c r="H176" s="0" t="s">
        <v>1227</v>
      </c>
      <c r="I176" s="0" t="s">
        <v>1197</v>
      </c>
      <c r="J176" s="0" t="s">
        <v>1198</v>
      </c>
      <c r="K176" s="0" t="s">
        <v>46</v>
      </c>
      <c r="L176" s="0" t="str">
        <f aca="false">HYPERLINK("https://www.ncbi.nlm.nih.gov/snp/rs45586238", "rs45586238")</f>
        <v>rs45586238</v>
      </c>
      <c r="M176" s="0" t="str">
        <f aca="false">HYPERLINK("https://www.genecards.org/Search/Keyword?queryString=%5Baliases%5D(%20MIB1%20)&amp;keywords=MIB1", "MIB1")</f>
        <v>MIB1</v>
      </c>
      <c r="N176" s="0" t="s">
        <v>63</v>
      </c>
      <c r="O176" s="0" t="s">
        <v>46</v>
      </c>
      <c r="P176" s="0" t="s">
        <v>46</v>
      </c>
      <c r="Q176" s="0" t="n">
        <v>0.0133</v>
      </c>
      <c r="R176" s="0" t="n">
        <v>0.0133</v>
      </c>
      <c r="S176" s="0" t="n">
        <v>0.0111</v>
      </c>
      <c r="T176" s="0" t="n">
        <v>-1</v>
      </c>
      <c r="U176" s="0" t="n">
        <v>0.0201</v>
      </c>
      <c r="V176" s="0" t="s">
        <v>46</v>
      </c>
      <c r="W176" s="0" t="s">
        <v>46</v>
      </c>
      <c r="X176" s="0" t="s">
        <v>385</v>
      </c>
      <c r="Y176" s="0" t="s">
        <v>64</v>
      </c>
      <c r="Z176" s="0" t="s">
        <v>46</v>
      </c>
      <c r="AA176" s="0" t="s">
        <v>46</v>
      </c>
      <c r="AB176" s="0" t="s">
        <v>46</v>
      </c>
      <c r="AC176" s="0" t="s">
        <v>52</v>
      </c>
      <c r="AD176" s="0" t="s">
        <v>53</v>
      </c>
      <c r="AE176" s="0" t="s">
        <v>1228</v>
      </c>
      <c r="AF176" s="0" t="s">
        <v>1229</v>
      </c>
      <c r="AG176" s="0" t="s">
        <v>1230</v>
      </c>
      <c r="AH176" s="0" t="s">
        <v>1231</v>
      </c>
      <c r="AI176" s="0" t="s">
        <v>46</v>
      </c>
      <c r="AJ176" s="0" t="s">
        <v>46</v>
      </c>
      <c r="AK176" s="0" t="s">
        <v>46</v>
      </c>
      <c r="AL176" s="0" t="s">
        <v>46</v>
      </c>
    </row>
    <row r="177" customFormat="false" ht="15" hidden="false" customHeight="false" outlineLevel="0" collapsed="false">
      <c r="B177" s="0" t="str">
        <f aca="false">HYPERLINK("https://genome.ucsc.edu/cgi-bin/hgTracks?db=hg19&amp;position=chr18%3A47352587%2D47352587", "chr18:47352587")</f>
        <v>chr18:47352587</v>
      </c>
      <c r="C177" s="0" t="s">
        <v>398</v>
      </c>
      <c r="D177" s="0" t="n">
        <v>47352587</v>
      </c>
      <c r="E177" s="0" t="n">
        <v>47352587</v>
      </c>
      <c r="F177" s="0" t="s">
        <v>312</v>
      </c>
      <c r="G177" s="0" t="s">
        <v>1232</v>
      </c>
      <c r="H177" s="0" t="s">
        <v>1233</v>
      </c>
      <c r="I177" s="0" t="s">
        <v>1234</v>
      </c>
      <c r="J177" s="0" t="s">
        <v>1235</v>
      </c>
      <c r="K177" s="0" t="s">
        <v>46</v>
      </c>
      <c r="L177" s="0" t="s">
        <v>46</v>
      </c>
      <c r="M177" s="0" t="str">
        <f aca="false">HYPERLINK("https://www.genecards.org/Search/Keyword?queryString=%5Baliases%5D(%20MYO5B%20)%20OR%20%5Baliases%5D(%20SNHG22%20)&amp;keywords=MYO5B,SNHG22", "MYO5B;SNHG22")</f>
        <v>MYO5B;SNHG22</v>
      </c>
      <c r="N177" s="0" t="s">
        <v>338</v>
      </c>
      <c r="O177" s="0" t="s">
        <v>46</v>
      </c>
      <c r="P177" s="0" t="s">
        <v>1236</v>
      </c>
      <c r="Q177" s="0" t="n">
        <v>0.0061</v>
      </c>
      <c r="R177" s="0" t="n">
        <v>-1</v>
      </c>
      <c r="S177" s="0" t="n">
        <v>-1</v>
      </c>
      <c r="T177" s="0" t="n">
        <v>-1</v>
      </c>
      <c r="U177" s="0" t="n">
        <v>-1</v>
      </c>
      <c r="V177" s="0" t="s">
        <v>46</v>
      </c>
      <c r="W177" s="0" t="s">
        <v>46</v>
      </c>
      <c r="X177" s="0" t="s">
        <v>46</v>
      </c>
      <c r="Y177" s="0" t="s">
        <v>46</v>
      </c>
      <c r="Z177" s="0" t="s">
        <v>46</v>
      </c>
      <c r="AA177" s="0" t="s">
        <v>46</v>
      </c>
      <c r="AB177" s="0" t="s">
        <v>46</v>
      </c>
      <c r="AC177" s="0" t="s">
        <v>52</v>
      </c>
      <c r="AD177" s="0" t="s">
        <v>1237</v>
      </c>
      <c r="AE177" s="0" t="s">
        <v>1238</v>
      </c>
      <c r="AF177" s="0" t="s">
        <v>1239</v>
      </c>
      <c r="AG177" s="0" t="s">
        <v>1240</v>
      </c>
      <c r="AH177" s="0" t="s">
        <v>1241</v>
      </c>
      <c r="AI177" s="0" t="s">
        <v>46</v>
      </c>
      <c r="AJ177" s="0" t="s">
        <v>46</v>
      </c>
      <c r="AK177" s="0" t="s">
        <v>46</v>
      </c>
      <c r="AL177" s="0" t="s">
        <v>46</v>
      </c>
    </row>
    <row r="178" customFormat="false" ht="15" hidden="false" customHeight="false" outlineLevel="0" collapsed="false">
      <c r="B178" s="0" t="str">
        <f aca="false">HYPERLINK("https://genome.ucsc.edu/cgi-bin/hgTracks?db=hg19&amp;position=chr18%3A47352599%2D47352599", "chr18:47352599")</f>
        <v>chr18:47352599</v>
      </c>
      <c r="C178" s="0" t="s">
        <v>398</v>
      </c>
      <c r="D178" s="0" t="n">
        <v>47352599</v>
      </c>
      <c r="E178" s="0" t="n">
        <v>47352599</v>
      </c>
      <c r="F178" s="0" t="s">
        <v>58</v>
      </c>
      <c r="G178" s="0" t="s">
        <v>39</v>
      </c>
      <c r="H178" s="0" t="s">
        <v>1242</v>
      </c>
      <c r="I178" s="0" t="s">
        <v>1063</v>
      </c>
      <c r="J178" s="0" t="s">
        <v>1243</v>
      </c>
      <c r="K178" s="0" t="s">
        <v>46</v>
      </c>
      <c r="L178" s="0" t="s">
        <v>46</v>
      </c>
      <c r="M178" s="0" t="str">
        <f aca="false">HYPERLINK("https://www.genecards.org/Search/Keyword?queryString=%5Baliases%5D(%20MYO5B%20)%20OR%20%5Baliases%5D(%20SNHG22%20)&amp;keywords=MYO5B,SNHG22", "MYO5B;SNHG22")</f>
        <v>MYO5B;SNHG22</v>
      </c>
      <c r="N178" s="0" t="s">
        <v>338</v>
      </c>
      <c r="O178" s="0" t="s">
        <v>46</v>
      </c>
      <c r="P178" s="0" t="s">
        <v>1244</v>
      </c>
      <c r="Q178" s="0" t="n">
        <v>0.010476</v>
      </c>
      <c r="R178" s="0" t="n">
        <v>0.0007</v>
      </c>
      <c r="S178" s="0" t="n">
        <v>0.0007</v>
      </c>
      <c r="T178" s="0" t="n">
        <v>-1</v>
      </c>
      <c r="U178" s="0" t="n">
        <v>0.0012</v>
      </c>
      <c r="V178" s="0" t="s">
        <v>46</v>
      </c>
      <c r="W178" s="0" t="s">
        <v>46</v>
      </c>
      <c r="X178" s="0" t="s">
        <v>46</v>
      </c>
      <c r="Y178" s="0" t="s">
        <v>46</v>
      </c>
      <c r="Z178" s="0" t="s">
        <v>46</v>
      </c>
      <c r="AA178" s="0" t="s">
        <v>46</v>
      </c>
      <c r="AB178" s="0" t="s">
        <v>46</v>
      </c>
      <c r="AC178" s="0" t="s">
        <v>52</v>
      </c>
      <c r="AD178" s="0" t="s">
        <v>1237</v>
      </c>
      <c r="AE178" s="0" t="s">
        <v>1238</v>
      </c>
      <c r="AF178" s="0" t="s">
        <v>1239</v>
      </c>
      <c r="AG178" s="0" t="s">
        <v>1240</v>
      </c>
      <c r="AH178" s="0" t="s">
        <v>1241</v>
      </c>
      <c r="AI178" s="0" t="s">
        <v>46</v>
      </c>
      <c r="AJ178" s="0" t="s">
        <v>46</v>
      </c>
      <c r="AK178" s="0" t="s">
        <v>46</v>
      </c>
      <c r="AL178" s="0" t="s">
        <v>46</v>
      </c>
    </row>
    <row r="179" customFormat="false" ht="15" hidden="false" customHeight="false" outlineLevel="0" collapsed="false">
      <c r="B179" s="0" t="str">
        <f aca="false">HYPERLINK("https://genome.ucsc.edu/cgi-bin/hgTracks?db=hg19&amp;position=chr18%3A47352785%2D47352785", "chr18:47352785")</f>
        <v>chr18:47352785</v>
      </c>
      <c r="C179" s="0" t="s">
        <v>398</v>
      </c>
      <c r="D179" s="0" t="n">
        <v>47352785</v>
      </c>
      <c r="E179" s="0" t="n">
        <v>47352785</v>
      </c>
      <c r="F179" s="0" t="s">
        <v>72</v>
      </c>
      <c r="G179" s="0" t="s">
        <v>40</v>
      </c>
      <c r="H179" s="0" t="s">
        <v>1245</v>
      </c>
      <c r="I179" s="0" t="s">
        <v>1246</v>
      </c>
      <c r="J179" s="0" t="s">
        <v>1247</v>
      </c>
      <c r="K179" s="0" t="s">
        <v>46</v>
      </c>
      <c r="L179" s="0" t="str">
        <f aca="false">HYPERLINK("https://www.ncbi.nlm.nih.gov/snp/rs1058553", "rs1058553")</f>
        <v>rs1058553</v>
      </c>
      <c r="M179" s="0" t="str">
        <f aca="false">HYPERLINK("https://www.genecards.org/Search/Keyword?queryString=%5Baliases%5D(%20MYO5B%20)%20OR%20%5Baliases%5D(%20SNHG22%20)&amp;keywords=MYO5B,SNHG22", "MYO5B;SNHG22")</f>
        <v>MYO5B;SNHG22</v>
      </c>
      <c r="N179" s="0" t="s">
        <v>338</v>
      </c>
      <c r="O179" s="0" t="s">
        <v>46</v>
      </c>
      <c r="P179" s="0" t="s">
        <v>1248</v>
      </c>
      <c r="Q179" s="0" t="n">
        <v>0.0258</v>
      </c>
      <c r="R179" s="0" t="n">
        <v>0.0014</v>
      </c>
      <c r="S179" s="0" t="n">
        <v>0.0021</v>
      </c>
      <c r="T179" s="0" t="n">
        <v>-1</v>
      </c>
      <c r="U179" s="0" t="n">
        <v>0.0049</v>
      </c>
      <c r="V179" s="0" t="s">
        <v>46</v>
      </c>
      <c r="W179" s="0" t="s">
        <v>46</v>
      </c>
      <c r="X179" s="0" t="s">
        <v>46</v>
      </c>
      <c r="Y179" s="0" t="s">
        <v>46</v>
      </c>
      <c r="Z179" s="0" t="s">
        <v>46</v>
      </c>
      <c r="AA179" s="0" t="s">
        <v>46</v>
      </c>
      <c r="AB179" s="0" t="s">
        <v>46</v>
      </c>
      <c r="AC179" s="0" t="s">
        <v>52</v>
      </c>
      <c r="AD179" s="0" t="s">
        <v>1237</v>
      </c>
      <c r="AE179" s="0" t="s">
        <v>1238</v>
      </c>
      <c r="AF179" s="0" t="s">
        <v>1239</v>
      </c>
      <c r="AG179" s="0" t="s">
        <v>1240</v>
      </c>
      <c r="AH179" s="0" t="s">
        <v>1241</v>
      </c>
      <c r="AI179" s="0" t="s">
        <v>46</v>
      </c>
      <c r="AJ179" s="0" t="s">
        <v>46</v>
      </c>
      <c r="AK179" s="0" t="s">
        <v>46</v>
      </c>
      <c r="AL179" s="0" t="s">
        <v>46</v>
      </c>
    </row>
    <row r="180" customFormat="false" ht="15" hidden="false" customHeight="false" outlineLevel="0" collapsed="false">
      <c r="B180" s="0" t="str">
        <f aca="false">HYPERLINK("https://genome.ucsc.edu/cgi-bin/hgTracks?db=hg19&amp;position=chr18%3A47369843%2D47369843", "chr18:47369843")</f>
        <v>chr18:47369843</v>
      </c>
      <c r="C180" s="0" t="s">
        <v>398</v>
      </c>
      <c r="D180" s="0" t="n">
        <v>47369843</v>
      </c>
      <c r="E180" s="0" t="n">
        <v>47369843</v>
      </c>
      <c r="F180" s="0" t="s">
        <v>40</v>
      </c>
      <c r="G180" s="0" t="s">
        <v>39</v>
      </c>
      <c r="H180" s="0" t="s">
        <v>1249</v>
      </c>
      <c r="I180" s="0" t="s">
        <v>599</v>
      </c>
      <c r="J180" s="0" t="s">
        <v>1250</v>
      </c>
      <c r="K180" s="0" t="s">
        <v>46</v>
      </c>
      <c r="L180" s="0" t="str">
        <f aca="false">HYPERLINK("https://www.ncbi.nlm.nih.gov/snp/rs146788616", "rs146788616")</f>
        <v>rs146788616</v>
      </c>
      <c r="M180" s="0" t="str">
        <f aca="false">HYPERLINK("https://www.genecards.org/Search/Keyword?queryString=%5Baliases%5D(%20MYO5B%20)%20OR%20%5Baliases%5D(%20SNHG22%20)&amp;keywords=MYO5B,SNHG22", "MYO5B;SNHG22")</f>
        <v>MYO5B;SNHG22</v>
      </c>
      <c r="N180" s="0" t="s">
        <v>366</v>
      </c>
      <c r="O180" s="0" t="s">
        <v>46</v>
      </c>
      <c r="P180" s="0" t="s">
        <v>46</v>
      </c>
      <c r="Q180" s="0" t="n">
        <v>0.0058</v>
      </c>
      <c r="R180" s="0" t="n">
        <v>0.0059</v>
      </c>
      <c r="S180" s="0" t="n">
        <v>0.0058</v>
      </c>
      <c r="T180" s="0" t="n">
        <v>-1</v>
      </c>
      <c r="U180" s="0" t="n">
        <v>0.0066</v>
      </c>
      <c r="V180" s="0" t="s">
        <v>46</v>
      </c>
      <c r="W180" s="0" t="s">
        <v>46</v>
      </c>
      <c r="X180" s="0" t="s">
        <v>340</v>
      </c>
      <c r="Y180" s="0" t="s">
        <v>64</v>
      </c>
      <c r="Z180" s="0" t="s">
        <v>46</v>
      </c>
      <c r="AA180" s="0" t="s">
        <v>46</v>
      </c>
      <c r="AB180" s="0" t="s">
        <v>46</v>
      </c>
      <c r="AC180" s="0" t="s">
        <v>52</v>
      </c>
      <c r="AD180" s="0" t="s">
        <v>1237</v>
      </c>
      <c r="AE180" s="0" t="s">
        <v>1238</v>
      </c>
      <c r="AF180" s="0" t="s">
        <v>1239</v>
      </c>
      <c r="AG180" s="0" t="s">
        <v>1240</v>
      </c>
      <c r="AH180" s="0" t="s">
        <v>1241</v>
      </c>
      <c r="AI180" s="0" t="s">
        <v>46</v>
      </c>
      <c r="AJ180" s="0" t="s">
        <v>46</v>
      </c>
      <c r="AK180" s="0" t="s">
        <v>46</v>
      </c>
      <c r="AL180" s="0" t="s">
        <v>46</v>
      </c>
    </row>
    <row r="181" customFormat="false" ht="15" hidden="false" customHeight="false" outlineLevel="0" collapsed="false">
      <c r="B181" s="0" t="str">
        <f aca="false">HYPERLINK("https://genome.ucsc.edu/cgi-bin/hgTracks?db=hg19&amp;position=chr18%3A47376148%2D47376148", "chr18:47376148")</f>
        <v>chr18:47376148</v>
      </c>
      <c r="C181" s="0" t="s">
        <v>398</v>
      </c>
      <c r="D181" s="0" t="n">
        <v>47376148</v>
      </c>
      <c r="E181" s="0" t="n">
        <v>47376148</v>
      </c>
      <c r="F181" s="0" t="s">
        <v>40</v>
      </c>
      <c r="G181" s="0" t="s">
        <v>39</v>
      </c>
      <c r="H181" s="0" t="s">
        <v>1017</v>
      </c>
      <c r="I181" s="0" t="s">
        <v>718</v>
      </c>
      <c r="J181" s="0" t="s">
        <v>1251</v>
      </c>
      <c r="K181" s="0" t="s">
        <v>46</v>
      </c>
      <c r="L181" s="0" t="str">
        <f aca="false">HYPERLINK("https://www.ncbi.nlm.nih.gov/snp/rs564843427", "rs564843427")</f>
        <v>rs564843427</v>
      </c>
      <c r="M181" s="0" t="str">
        <f aca="false">HYPERLINK("https://www.genecards.org/Search/Keyword?queryString=%5Baliases%5D(%20MYO5B%20)%20OR%20%5Baliases%5D(%20SNHG22%20)&amp;keywords=MYO5B,SNHG22", "MYO5B;SNHG22")</f>
        <v>MYO5B;SNHG22</v>
      </c>
      <c r="N181" s="0" t="s">
        <v>1252</v>
      </c>
      <c r="O181" s="0" t="s">
        <v>46</v>
      </c>
      <c r="P181" s="0" t="s">
        <v>1253</v>
      </c>
      <c r="Q181" s="0" t="n">
        <v>0.0058</v>
      </c>
      <c r="R181" s="0" t="n">
        <v>0.0059</v>
      </c>
      <c r="S181" s="0" t="n">
        <v>0.0058</v>
      </c>
      <c r="T181" s="0" t="n">
        <v>-1</v>
      </c>
      <c r="U181" s="0" t="n">
        <v>0.0066</v>
      </c>
      <c r="V181" s="0" t="s">
        <v>46</v>
      </c>
      <c r="W181" s="0" t="s">
        <v>46</v>
      </c>
      <c r="X181" s="0" t="s">
        <v>46</v>
      </c>
      <c r="Y181" s="0" t="s">
        <v>46</v>
      </c>
      <c r="Z181" s="0" t="s">
        <v>46</v>
      </c>
      <c r="AA181" s="0" t="s">
        <v>46</v>
      </c>
      <c r="AB181" s="0" t="s">
        <v>46</v>
      </c>
      <c r="AC181" s="0" t="s">
        <v>52</v>
      </c>
      <c r="AD181" s="0" t="s">
        <v>1237</v>
      </c>
      <c r="AE181" s="0" t="s">
        <v>1238</v>
      </c>
      <c r="AF181" s="0" t="s">
        <v>1239</v>
      </c>
      <c r="AG181" s="0" t="s">
        <v>1240</v>
      </c>
      <c r="AH181" s="0" t="s">
        <v>1241</v>
      </c>
      <c r="AI181" s="0" t="s">
        <v>46</v>
      </c>
      <c r="AJ181" s="0" t="s">
        <v>46</v>
      </c>
      <c r="AK181" s="0" t="s">
        <v>46</v>
      </c>
      <c r="AL181" s="0" t="s">
        <v>46</v>
      </c>
    </row>
    <row r="182" customFormat="false" ht="15" hidden="false" customHeight="false" outlineLevel="0" collapsed="false">
      <c r="B182" s="0" t="str">
        <f aca="false">HYPERLINK("https://genome.ucsc.edu/cgi-bin/hgTracks?db=hg19&amp;position=chr18%3A55362886%2D55362886", "chr18:55362886")</f>
        <v>chr18:55362886</v>
      </c>
      <c r="C182" s="0" t="s">
        <v>398</v>
      </c>
      <c r="D182" s="0" t="n">
        <v>55362886</v>
      </c>
      <c r="E182" s="0" t="n">
        <v>55362886</v>
      </c>
      <c r="F182" s="0" t="s">
        <v>39</v>
      </c>
      <c r="G182" s="0" t="s">
        <v>40</v>
      </c>
      <c r="H182" s="0" t="s">
        <v>1254</v>
      </c>
      <c r="I182" s="0" t="s">
        <v>637</v>
      </c>
      <c r="J182" s="0" t="s">
        <v>1255</v>
      </c>
      <c r="K182" s="0" t="s">
        <v>46</v>
      </c>
      <c r="L182" s="0" t="str">
        <f aca="false">HYPERLINK("https://www.ncbi.nlm.nih.gov/snp/rs72946005", "rs72946005")</f>
        <v>rs72946005</v>
      </c>
      <c r="M182" s="0" t="str">
        <f aca="false">HYPERLINK("https://www.genecards.org/Search/Keyword?queryString=%5Baliases%5D(%20ATP8B1%20)&amp;keywords=ATP8B1", "ATP8B1")</f>
        <v>ATP8B1</v>
      </c>
      <c r="N182" s="0" t="s">
        <v>366</v>
      </c>
      <c r="O182" s="0" t="s">
        <v>46</v>
      </c>
      <c r="P182" s="0" t="s">
        <v>46</v>
      </c>
      <c r="Q182" s="0" t="n">
        <v>0.0189</v>
      </c>
      <c r="R182" s="0" t="n">
        <v>0.0116</v>
      </c>
      <c r="S182" s="0" t="n">
        <v>0.0137</v>
      </c>
      <c r="T182" s="0" t="n">
        <v>-1</v>
      </c>
      <c r="U182" s="0" t="n">
        <v>0.0092</v>
      </c>
      <c r="V182" s="0" t="s">
        <v>46</v>
      </c>
      <c r="W182" s="0" t="s">
        <v>46</v>
      </c>
      <c r="X182" s="0" t="s">
        <v>49</v>
      </c>
      <c r="Y182" s="0" t="s">
        <v>64</v>
      </c>
      <c r="Z182" s="0" t="s">
        <v>46</v>
      </c>
      <c r="AA182" s="0" t="s">
        <v>46</v>
      </c>
      <c r="AB182" s="0" t="s">
        <v>46</v>
      </c>
      <c r="AC182" s="0" t="s">
        <v>52</v>
      </c>
      <c r="AD182" s="0" t="s">
        <v>53</v>
      </c>
      <c r="AE182" s="0" t="s">
        <v>1256</v>
      </c>
      <c r="AF182" s="0" t="s">
        <v>1257</v>
      </c>
      <c r="AG182" s="0" t="s">
        <v>1258</v>
      </c>
      <c r="AH182" s="0" t="s">
        <v>1259</v>
      </c>
      <c r="AI182" s="0" t="s">
        <v>46</v>
      </c>
      <c r="AJ182" s="0" t="s">
        <v>46</v>
      </c>
      <c r="AK182" s="0" t="s">
        <v>46</v>
      </c>
      <c r="AL182" s="0" t="s">
        <v>46</v>
      </c>
    </row>
    <row r="183" customFormat="false" ht="15" hidden="false" customHeight="false" outlineLevel="0" collapsed="false">
      <c r="B183" s="0" t="str">
        <f aca="false">HYPERLINK("https://genome.ucsc.edu/cgi-bin/hgTracks?db=hg19&amp;position=chr18%3A56411799%2D56411799", "chr18:56411799")</f>
        <v>chr18:56411799</v>
      </c>
      <c r="C183" s="0" t="s">
        <v>398</v>
      </c>
      <c r="D183" s="0" t="n">
        <v>56411799</v>
      </c>
      <c r="E183" s="0" t="n">
        <v>56411799</v>
      </c>
      <c r="F183" s="0" t="s">
        <v>72</v>
      </c>
      <c r="G183" s="0" t="s">
        <v>58</v>
      </c>
      <c r="H183" s="0" t="s">
        <v>1260</v>
      </c>
      <c r="I183" s="0" t="s">
        <v>825</v>
      </c>
      <c r="J183" s="0" t="s">
        <v>1261</v>
      </c>
      <c r="K183" s="0" t="s">
        <v>46</v>
      </c>
      <c r="L183" s="0" t="str">
        <f aca="false">HYPERLINK("https://www.ncbi.nlm.nih.gov/snp/rs547937001", "rs547937001")</f>
        <v>rs547937001</v>
      </c>
      <c r="M183" s="0" t="str">
        <f aca="false">HYPERLINK("https://www.genecards.org/Search/Keyword?queryString=%5Baliases%5D(%20MALT1%20)&amp;keywords=MALT1", "MALT1")</f>
        <v>MALT1</v>
      </c>
      <c r="N183" s="0" t="s">
        <v>366</v>
      </c>
      <c r="O183" s="0" t="s">
        <v>46</v>
      </c>
      <c r="P183" s="0" t="s">
        <v>46</v>
      </c>
      <c r="Q183" s="0" t="n">
        <v>0.006</v>
      </c>
      <c r="R183" s="0" t="n">
        <v>0.002</v>
      </c>
      <c r="S183" s="0" t="n">
        <v>0.0026</v>
      </c>
      <c r="T183" s="0" t="n">
        <v>-1</v>
      </c>
      <c r="U183" s="0" t="n">
        <v>0.0044</v>
      </c>
      <c r="V183" s="0" t="s">
        <v>46</v>
      </c>
      <c r="W183" s="0" t="s">
        <v>46</v>
      </c>
      <c r="X183" s="0" t="s">
        <v>340</v>
      </c>
      <c r="Y183" s="0" t="s">
        <v>64</v>
      </c>
      <c r="Z183" s="0" t="s">
        <v>46</v>
      </c>
      <c r="AA183" s="0" t="s">
        <v>46</v>
      </c>
      <c r="AB183" s="0" t="s">
        <v>46</v>
      </c>
      <c r="AC183" s="0" t="s">
        <v>52</v>
      </c>
      <c r="AD183" s="0" t="s">
        <v>53</v>
      </c>
      <c r="AE183" s="0" t="s">
        <v>1262</v>
      </c>
      <c r="AF183" s="0" t="s">
        <v>1263</v>
      </c>
      <c r="AG183" s="0" t="s">
        <v>1264</v>
      </c>
      <c r="AH183" s="0" t="s">
        <v>1265</v>
      </c>
      <c r="AI183" s="0" t="s">
        <v>46</v>
      </c>
      <c r="AJ183" s="0" t="s">
        <v>46</v>
      </c>
      <c r="AK183" s="0" t="s">
        <v>46</v>
      </c>
      <c r="AL183" s="0" t="s">
        <v>46</v>
      </c>
    </row>
    <row r="184" customFormat="false" ht="15" hidden="false" customHeight="false" outlineLevel="0" collapsed="false">
      <c r="B184" s="0" t="str">
        <f aca="false">HYPERLINK("https://genome.ucsc.edu/cgi-bin/hgTracks?db=hg19&amp;position=chr19%3A1555363%2D1555363", "chr19:1555363")</f>
        <v>chr19:1555363</v>
      </c>
      <c r="C184" s="0" t="s">
        <v>38</v>
      </c>
      <c r="D184" s="0" t="n">
        <v>1555363</v>
      </c>
      <c r="E184" s="0" t="n">
        <v>1555363</v>
      </c>
      <c r="F184" s="0" t="s">
        <v>312</v>
      </c>
      <c r="G184" s="0" t="s">
        <v>1266</v>
      </c>
      <c r="H184" s="0" t="s">
        <v>1267</v>
      </c>
      <c r="I184" s="0" t="s">
        <v>483</v>
      </c>
      <c r="J184" s="0" t="s">
        <v>1268</v>
      </c>
      <c r="K184" s="0" t="s">
        <v>46</v>
      </c>
      <c r="L184" s="0" t="str">
        <f aca="false">HYPERLINK("https://www.ncbi.nlm.nih.gov/snp/rs754250592", "rs754250592")</f>
        <v>rs754250592</v>
      </c>
      <c r="M184" s="0" t="str">
        <f aca="false">HYPERLINK("https://www.genecards.org/Search/Keyword?queryString=%5Baliases%5D(%20MEX3D%20)&amp;keywords=MEX3D", "MEX3D")</f>
        <v>MEX3D</v>
      </c>
      <c r="N184" s="0" t="s">
        <v>1269</v>
      </c>
      <c r="O184" s="0" t="s">
        <v>357</v>
      </c>
      <c r="P184" s="0" t="s">
        <v>1270</v>
      </c>
      <c r="Q184" s="0" t="n">
        <v>0.0037</v>
      </c>
      <c r="R184" s="0" t="n">
        <v>0.0012</v>
      </c>
      <c r="S184" s="0" t="n">
        <v>0.0018</v>
      </c>
      <c r="T184" s="0" t="n">
        <v>-1</v>
      </c>
      <c r="U184" s="0" t="n">
        <v>0.0015</v>
      </c>
      <c r="V184" s="0" t="s">
        <v>46</v>
      </c>
      <c r="W184" s="0" t="s">
        <v>46</v>
      </c>
      <c r="X184" s="0" t="s">
        <v>46</v>
      </c>
      <c r="Y184" s="0" t="s">
        <v>46</v>
      </c>
      <c r="Z184" s="0" t="s">
        <v>46</v>
      </c>
      <c r="AA184" s="0" t="s">
        <v>46</v>
      </c>
      <c r="AB184" s="0" t="s">
        <v>46</v>
      </c>
      <c r="AC184" s="0" t="s">
        <v>52</v>
      </c>
      <c r="AD184" s="0" t="s">
        <v>53</v>
      </c>
      <c r="AE184" s="0" t="s">
        <v>46</v>
      </c>
      <c r="AF184" s="0" t="s">
        <v>1271</v>
      </c>
      <c r="AG184" s="0" t="s">
        <v>1272</v>
      </c>
      <c r="AH184" s="0" t="s">
        <v>46</v>
      </c>
      <c r="AI184" s="0" t="s">
        <v>46</v>
      </c>
      <c r="AJ184" s="0" t="s">
        <v>46</v>
      </c>
      <c r="AK184" s="0" t="s">
        <v>46</v>
      </c>
      <c r="AL184" s="0" t="s">
        <v>46</v>
      </c>
    </row>
    <row r="185" customFormat="false" ht="15" hidden="false" customHeight="false" outlineLevel="0" collapsed="false">
      <c r="B185" s="0" t="str">
        <f aca="false">HYPERLINK("https://genome.ucsc.edu/cgi-bin/hgTracks?db=hg19&amp;position=chr19%3A4664877%2D4664877", "chr19:4664877")</f>
        <v>chr19:4664877</v>
      </c>
      <c r="C185" s="0" t="s">
        <v>38</v>
      </c>
      <c r="D185" s="0" t="n">
        <v>4664877</v>
      </c>
      <c r="E185" s="0" t="n">
        <v>4664877</v>
      </c>
      <c r="F185" s="0" t="s">
        <v>40</v>
      </c>
      <c r="G185" s="0" t="s">
        <v>39</v>
      </c>
      <c r="H185" s="0" t="s">
        <v>1273</v>
      </c>
      <c r="I185" s="0" t="s">
        <v>1274</v>
      </c>
      <c r="J185" s="0" t="s">
        <v>1275</v>
      </c>
      <c r="K185" s="0" t="s">
        <v>46</v>
      </c>
      <c r="L185" s="0" t="str">
        <f aca="false">HYPERLINK("https://www.ncbi.nlm.nih.gov/snp/rs199712920", "rs199712920")</f>
        <v>rs199712920</v>
      </c>
      <c r="M185" s="0" t="str">
        <f aca="false">HYPERLINK("https://www.genecards.org/Search/Keyword?queryString=%5Baliases%5D(%20C19orf10%20)%20OR%20%5Baliases%5D(%20MYDGF%20)&amp;keywords=C19orf10,MYDGF", "C19orf10;MYDGF")</f>
        <v>C19orf10;MYDGF</v>
      </c>
      <c r="N185" s="0" t="s">
        <v>63</v>
      </c>
      <c r="O185" s="0" t="s">
        <v>46</v>
      </c>
      <c r="P185" s="0" t="s">
        <v>46</v>
      </c>
      <c r="Q185" s="0" t="n">
        <v>0.002463</v>
      </c>
      <c r="R185" s="0" t="n">
        <v>0.0025</v>
      </c>
      <c r="S185" s="0" t="n">
        <v>0.0036</v>
      </c>
      <c r="T185" s="0" t="n">
        <v>-1</v>
      </c>
      <c r="U185" s="0" t="n">
        <v>0.0009</v>
      </c>
      <c r="V185" s="0" t="s">
        <v>46</v>
      </c>
      <c r="W185" s="0" t="s">
        <v>46</v>
      </c>
      <c r="X185" s="0" t="s">
        <v>49</v>
      </c>
      <c r="Y185" s="0" t="s">
        <v>64</v>
      </c>
      <c r="Z185" s="0" t="s">
        <v>46</v>
      </c>
      <c r="AA185" s="0" t="s">
        <v>46</v>
      </c>
      <c r="AB185" s="0" t="s">
        <v>46</v>
      </c>
      <c r="AC185" s="0" t="s">
        <v>52</v>
      </c>
      <c r="AD185" s="0" t="s">
        <v>182</v>
      </c>
      <c r="AE185" s="0" t="s">
        <v>46</v>
      </c>
      <c r="AF185" s="0" t="s">
        <v>1276</v>
      </c>
      <c r="AG185" s="0" t="s">
        <v>1277</v>
      </c>
      <c r="AH185" s="0" t="s">
        <v>46</v>
      </c>
      <c r="AI185" s="0" t="s">
        <v>46</v>
      </c>
      <c r="AJ185" s="0" t="s">
        <v>46</v>
      </c>
      <c r="AK185" s="0" t="s">
        <v>46</v>
      </c>
      <c r="AL185" s="0" t="s">
        <v>46</v>
      </c>
    </row>
    <row r="186" customFormat="false" ht="15" hidden="false" customHeight="false" outlineLevel="0" collapsed="false">
      <c r="B186" s="0" t="str">
        <f aca="false">HYPERLINK("https://genome.ucsc.edu/cgi-bin/hgTracks?db=hg19&amp;position=chr19%3A15580220%2D15580220", "chr19:15580220")</f>
        <v>chr19:15580220</v>
      </c>
      <c r="C186" s="0" t="s">
        <v>38</v>
      </c>
      <c r="D186" s="0" t="n">
        <v>15580220</v>
      </c>
      <c r="E186" s="0" t="n">
        <v>15580220</v>
      </c>
      <c r="F186" s="0" t="s">
        <v>58</v>
      </c>
      <c r="G186" s="0" t="s">
        <v>72</v>
      </c>
      <c r="H186" s="0" t="s">
        <v>1278</v>
      </c>
      <c r="I186" s="0" t="s">
        <v>1279</v>
      </c>
      <c r="J186" s="0" t="s">
        <v>1280</v>
      </c>
      <c r="K186" s="0" t="s">
        <v>46</v>
      </c>
      <c r="L186" s="0" t="str">
        <f aca="false">HYPERLINK("https://www.ncbi.nlm.nih.gov/snp/rs375779148", "rs375779148")</f>
        <v>rs375779148</v>
      </c>
      <c r="M186" s="0" t="str">
        <f aca="false">HYPERLINK("https://www.genecards.org/Search/Keyword?queryString=%5Baliases%5D(%20PGLYRP2%20)&amp;keywords=PGLYRP2", "PGLYRP2")</f>
        <v>PGLYRP2</v>
      </c>
      <c r="N186" s="0" t="s">
        <v>77</v>
      </c>
      <c r="O186" s="0" t="s">
        <v>328</v>
      </c>
      <c r="P186" s="0" t="s">
        <v>1281</v>
      </c>
      <c r="Q186" s="0" t="n">
        <v>0.0055</v>
      </c>
      <c r="R186" s="0" t="n">
        <v>0.0009</v>
      </c>
      <c r="S186" s="0" t="n">
        <v>0.0008</v>
      </c>
      <c r="T186" s="0" t="n">
        <v>-1</v>
      </c>
      <c r="U186" s="0" t="n">
        <v>0.0018</v>
      </c>
      <c r="V186" s="0" t="s">
        <v>540</v>
      </c>
      <c r="W186" s="0" t="s">
        <v>46</v>
      </c>
      <c r="X186" s="0" t="s">
        <v>46</v>
      </c>
      <c r="Y186" s="0" t="s">
        <v>46</v>
      </c>
      <c r="Z186" s="0" t="s">
        <v>104</v>
      </c>
      <c r="AA186" s="0" t="s">
        <v>46</v>
      </c>
      <c r="AB186" s="0" t="s">
        <v>46</v>
      </c>
      <c r="AC186" s="0" t="s">
        <v>52</v>
      </c>
      <c r="AD186" s="0" t="s">
        <v>53</v>
      </c>
      <c r="AE186" s="0" t="s">
        <v>1282</v>
      </c>
      <c r="AF186" s="0" t="s">
        <v>1283</v>
      </c>
      <c r="AG186" s="0" t="s">
        <v>1284</v>
      </c>
      <c r="AH186" s="0" t="s">
        <v>46</v>
      </c>
      <c r="AI186" s="0" t="s">
        <v>46</v>
      </c>
      <c r="AJ186" s="0" t="s">
        <v>46</v>
      </c>
      <c r="AK186" s="0" t="s">
        <v>46</v>
      </c>
      <c r="AL186" s="0" t="s">
        <v>46</v>
      </c>
    </row>
    <row r="187" customFormat="false" ht="15" hidden="false" customHeight="false" outlineLevel="0" collapsed="false">
      <c r="B187" s="0" t="str">
        <f aca="false">HYPERLINK("https://genome.ucsc.edu/cgi-bin/hgTracks?db=hg19&amp;position=chr19%3A16739199%2D16739199", "chr19:16739199")</f>
        <v>chr19:16739199</v>
      </c>
      <c r="C187" s="0" t="s">
        <v>38</v>
      </c>
      <c r="D187" s="0" t="n">
        <v>16739199</v>
      </c>
      <c r="E187" s="0" t="n">
        <v>16739199</v>
      </c>
      <c r="F187" s="0" t="s">
        <v>40</v>
      </c>
      <c r="G187" s="0" t="s">
        <v>39</v>
      </c>
      <c r="H187" s="0" t="s">
        <v>1285</v>
      </c>
      <c r="I187" s="0" t="s">
        <v>493</v>
      </c>
      <c r="J187" s="0" t="s">
        <v>1286</v>
      </c>
      <c r="K187" s="0" t="s">
        <v>46</v>
      </c>
      <c r="L187" s="0" t="str">
        <f aca="false">HYPERLINK("https://www.ncbi.nlm.nih.gov/snp/rs540036984", "rs540036984")</f>
        <v>rs540036984</v>
      </c>
      <c r="M187" s="0" t="s">
        <v>46</v>
      </c>
      <c r="N187" s="0" t="s">
        <v>1287</v>
      </c>
      <c r="O187" s="0" t="s">
        <v>46</v>
      </c>
      <c r="P187" s="0" t="s">
        <v>1288</v>
      </c>
      <c r="Q187" s="0" t="n">
        <v>0.0239</v>
      </c>
      <c r="R187" s="0" t="n">
        <v>0.0275</v>
      </c>
      <c r="S187" s="0" t="n">
        <v>0.0247</v>
      </c>
      <c r="T187" s="0" t="n">
        <v>-1</v>
      </c>
      <c r="U187" s="0" t="n">
        <v>0.0355</v>
      </c>
      <c r="V187" s="0" t="s">
        <v>46</v>
      </c>
      <c r="W187" s="0" t="s">
        <v>46</v>
      </c>
      <c r="X187" s="0" t="s">
        <v>49</v>
      </c>
      <c r="Y187" s="0" t="s">
        <v>64</v>
      </c>
      <c r="Z187" s="0" t="s">
        <v>46</v>
      </c>
      <c r="AA187" s="0" t="s">
        <v>46</v>
      </c>
      <c r="AB187" s="0" t="s">
        <v>46</v>
      </c>
      <c r="AC187" s="0" t="s">
        <v>52</v>
      </c>
      <c r="AD187" s="0" t="s">
        <v>870</v>
      </c>
      <c r="AE187" s="0" t="s">
        <v>46</v>
      </c>
      <c r="AF187" s="0" t="s">
        <v>46</v>
      </c>
      <c r="AG187" s="0" t="s">
        <v>46</v>
      </c>
      <c r="AH187" s="0" t="s">
        <v>46</v>
      </c>
      <c r="AI187" s="0" t="s">
        <v>46</v>
      </c>
      <c r="AJ187" s="0" t="s">
        <v>46</v>
      </c>
      <c r="AK187" s="0" t="s">
        <v>46</v>
      </c>
      <c r="AL187" s="0" t="s">
        <v>46</v>
      </c>
    </row>
    <row r="188" customFormat="false" ht="15" hidden="false" customHeight="false" outlineLevel="0" collapsed="false">
      <c r="B188" s="0" t="str">
        <f aca="false">HYPERLINK("https://genome.ucsc.edu/cgi-bin/hgTracks?db=hg19&amp;position=chr19%3A17315973%2D17315973", "chr19:17315973")</f>
        <v>chr19:17315973</v>
      </c>
      <c r="C188" s="0" t="s">
        <v>38</v>
      </c>
      <c r="D188" s="0" t="n">
        <v>17315973</v>
      </c>
      <c r="E188" s="0" t="n">
        <v>17315973</v>
      </c>
      <c r="F188" s="0" t="s">
        <v>72</v>
      </c>
      <c r="G188" s="0" t="s">
        <v>58</v>
      </c>
      <c r="H188" s="0" t="s">
        <v>1289</v>
      </c>
      <c r="I188" s="0" t="s">
        <v>594</v>
      </c>
      <c r="J188" s="0" t="s">
        <v>814</v>
      </c>
      <c r="K188" s="0" t="s">
        <v>46</v>
      </c>
      <c r="L188" s="0" t="str">
        <f aca="false">HYPERLINK("https://www.ncbi.nlm.nih.gov/snp/rs77831839", "rs77831839")</f>
        <v>rs77831839</v>
      </c>
      <c r="M188" s="0" t="str">
        <f aca="false">HYPERLINK("https://www.genecards.org/Search/Keyword?queryString=%5Baliases%5D(%20MYO9B%20)&amp;keywords=MYO9B", "MYO9B")</f>
        <v>MYO9B</v>
      </c>
      <c r="N188" s="0" t="s">
        <v>63</v>
      </c>
      <c r="O188" s="0" t="s">
        <v>46</v>
      </c>
      <c r="P188" s="0" t="s">
        <v>46</v>
      </c>
      <c r="Q188" s="0" t="n">
        <v>0.0033</v>
      </c>
      <c r="R188" s="0" t="n">
        <v>0.0003</v>
      </c>
      <c r="S188" s="0" t="n">
        <v>0.0003</v>
      </c>
      <c r="T188" s="0" t="n">
        <v>-1</v>
      </c>
      <c r="U188" s="0" t="n">
        <v>0.0005</v>
      </c>
      <c r="V188" s="0" t="s">
        <v>46</v>
      </c>
      <c r="W188" s="0" t="s">
        <v>46</v>
      </c>
      <c r="X188" s="0" t="s">
        <v>385</v>
      </c>
      <c r="Y188" s="0" t="s">
        <v>64</v>
      </c>
      <c r="Z188" s="0" t="s">
        <v>46</v>
      </c>
      <c r="AA188" s="0" t="s">
        <v>46</v>
      </c>
      <c r="AB188" s="0" t="s">
        <v>46</v>
      </c>
      <c r="AC188" s="0" t="s">
        <v>52</v>
      </c>
      <c r="AD188" s="0" t="s">
        <v>53</v>
      </c>
      <c r="AE188" s="0" t="s">
        <v>1290</v>
      </c>
      <c r="AF188" s="0" t="s">
        <v>1291</v>
      </c>
      <c r="AG188" s="0" t="s">
        <v>1292</v>
      </c>
      <c r="AH188" s="0" t="s">
        <v>46</v>
      </c>
      <c r="AI188" s="0" t="s">
        <v>46</v>
      </c>
      <c r="AJ188" s="0" t="s">
        <v>46</v>
      </c>
      <c r="AK188" s="0" t="s">
        <v>46</v>
      </c>
      <c r="AL188" s="0" t="s">
        <v>46</v>
      </c>
    </row>
    <row r="189" customFormat="false" ht="15" hidden="false" customHeight="false" outlineLevel="0" collapsed="false">
      <c r="B189" s="0" t="str">
        <f aca="false">HYPERLINK("https://genome.ucsc.edu/cgi-bin/hgTracks?db=hg19&amp;position=chr19%3A32851306%2D32851306", "chr19:32851306")</f>
        <v>chr19:32851306</v>
      </c>
      <c r="C189" s="0" t="s">
        <v>38</v>
      </c>
      <c r="D189" s="0" t="n">
        <v>32851306</v>
      </c>
      <c r="E189" s="0" t="n">
        <v>32851306</v>
      </c>
      <c r="F189" s="0" t="s">
        <v>39</v>
      </c>
      <c r="G189" s="0" t="s">
        <v>58</v>
      </c>
      <c r="H189" s="0" t="s">
        <v>1028</v>
      </c>
      <c r="I189" s="0" t="s">
        <v>1293</v>
      </c>
      <c r="J189" s="0" t="s">
        <v>1294</v>
      </c>
      <c r="K189" s="0" t="s">
        <v>46</v>
      </c>
      <c r="L189" s="0" t="str">
        <f aca="false">HYPERLINK("https://www.ncbi.nlm.nih.gov/snp/rs149398225", "rs149398225")</f>
        <v>rs149398225</v>
      </c>
      <c r="M189" s="0" t="str">
        <f aca="false">HYPERLINK("https://www.genecards.org/Search/Keyword?queryString=%5Baliases%5D(%20ZNF507%20)&amp;keywords=ZNF507", "ZNF507")</f>
        <v>ZNF507</v>
      </c>
      <c r="N189" s="0" t="s">
        <v>63</v>
      </c>
      <c r="O189" s="0" t="s">
        <v>46</v>
      </c>
      <c r="P189" s="0" t="s">
        <v>46</v>
      </c>
      <c r="Q189" s="0" t="n">
        <v>0.0294</v>
      </c>
      <c r="R189" s="0" t="n">
        <v>0.0344</v>
      </c>
      <c r="S189" s="0" t="n">
        <v>0.0289</v>
      </c>
      <c r="T189" s="0" t="n">
        <v>-1</v>
      </c>
      <c r="U189" s="0" t="n">
        <v>0.0448</v>
      </c>
      <c r="V189" s="0" t="s">
        <v>46</v>
      </c>
      <c r="W189" s="0" t="s">
        <v>46</v>
      </c>
      <c r="X189" s="0" t="s">
        <v>49</v>
      </c>
      <c r="Y189" s="0" t="s">
        <v>64</v>
      </c>
      <c r="Z189" s="0" t="s">
        <v>46</v>
      </c>
      <c r="AA189" s="0" t="s">
        <v>46</v>
      </c>
      <c r="AB189" s="0" t="s">
        <v>46</v>
      </c>
      <c r="AC189" s="0" t="s">
        <v>52</v>
      </c>
      <c r="AD189" s="0" t="s">
        <v>53</v>
      </c>
      <c r="AE189" s="0" t="s">
        <v>1295</v>
      </c>
      <c r="AF189" s="0" t="s">
        <v>1296</v>
      </c>
      <c r="AG189" s="0" t="s">
        <v>1297</v>
      </c>
      <c r="AH189" s="0" t="s">
        <v>46</v>
      </c>
      <c r="AI189" s="0" t="s">
        <v>46</v>
      </c>
      <c r="AJ189" s="0" t="s">
        <v>46</v>
      </c>
      <c r="AK189" s="0" t="s">
        <v>46</v>
      </c>
      <c r="AL189" s="0" t="s">
        <v>46</v>
      </c>
    </row>
    <row r="190" customFormat="false" ht="15" hidden="false" customHeight="false" outlineLevel="0" collapsed="false">
      <c r="B190" s="0" t="str">
        <f aca="false">HYPERLINK("https://genome.ucsc.edu/cgi-bin/hgTracks?db=hg19&amp;position=chr19%3A33108664%2D33108664", "chr19:33108664")</f>
        <v>chr19:33108664</v>
      </c>
      <c r="C190" s="0" t="s">
        <v>38</v>
      </c>
      <c r="D190" s="0" t="n">
        <v>33108664</v>
      </c>
      <c r="E190" s="0" t="n">
        <v>33108664</v>
      </c>
      <c r="F190" s="0" t="s">
        <v>39</v>
      </c>
      <c r="G190" s="0" t="s">
        <v>40</v>
      </c>
      <c r="H190" s="0" t="s">
        <v>1298</v>
      </c>
      <c r="I190" s="0" t="s">
        <v>789</v>
      </c>
      <c r="J190" s="0" t="s">
        <v>1299</v>
      </c>
      <c r="K190" s="0" t="s">
        <v>46</v>
      </c>
      <c r="L190" s="0" t="s">
        <v>46</v>
      </c>
      <c r="M190" s="0" t="str">
        <f aca="false">HYPERLINK("https://www.genecards.org/Search/Keyword?queryString=%5Baliases%5D(%20ANKRD27%20)&amp;keywords=ANKRD27", "ANKRD27")</f>
        <v>ANKRD27</v>
      </c>
      <c r="N190" s="0" t="s">
        <v>63</v>
      </c>
      <c r="O190" s="0" t="s">
        <v>46</v>
      </c>
      <c r="P190" s="0" t="s">
        <v>46</v>
      </c>
      <c r="Q190" s="0" t="n">
        <v>0.014</v>
      </c>
      <c r="R190" s="0" t="n">
        <v>0.0057</v>
      </c>
      <c r="S190" s="0" t="n">
        <v>0.0059</v>
      </c>
      <c r="T190" s="0" t="n">
        <v>-1</v>
      </c>
      <c r="U190" s="0" t="n">
        <v>0.0147</v>
      </c>
      <c r="V190" s="0" t="s">
        <v>46</v>
      </c>
      <c r="W190" s="0" t="s">
        <v>46</v>
      </c>
      <c r="X190" s="0" t="s">
        <v>49</v>
      </c>
      <c r="Y190" s="0" t="s">
        <v>64</v>
      </c>
      <c r="Z190" s="0" t="s">
        <v>46</v>
      </c>
      <c r="AA190" s="0" t="s">
        <v>46</v>
      </c>
      <c r="AB190" s="0" t="s">
        <v>46</v>
      </c>
      <c r="AC190" s="0" t="s">
        <v>52</v>
      </c>
      <c r="AD190" s="0" t="s">
        <v>53</v>
      </c>
      <c r="AE190" s="0" t="s">
        <v>1300</v>
      </c>
      <c r="AF190" s="0" t="s">
        <v>1301</v>
      </c>
      <c r="AG190" s="0" t="s">
        <v>1302</v>
      </c>
      <c r="AH190" s="0" t="s">
        <v>46</v>
      </c>
      <c r="AI190" s="0" t="s">
        <v>46</v>
      </c>
      <c r="AJ190" s="0" t="s">
        <v>46</v>
      </c>
      <c r="AK190" s="0" t="s">
        <v>46</v>
      </c>
      <c r="AL190" s="0" t="s">
        <v>46</v>
      </c>
    </row>
    <row r="191" customFormat="false" ht="15" hidden="false" customHeight="false" outlineLevel="0" collapsed="false">
      <c r="B191" s="0" t="str">
        <f aca="false">HYPERLINK("https://genome.ucsc.edu/cgi-bin/hgTracks?db=hg19&amp;position=chr19%3A40407931%2D40407931", "chr19:40407931")</f>
        <v>chr19:40407931</v>
      </c>
      <c r="C191" s="0" t="s">
        <v>38</v>
      </c>
      <c r="D191" s="0" t="n">
        <v>40407931</v>
      </c>
      <c r="E191" s="0" t="n">
        <v>40407931</v>
      </c>
      <c r="F191" s="0" t="s">
        <v>40</v>
      </c>
      <c r="G191" s="0" t="s">
        <v>39</v>
      </c>
      <c r="H191" s="0" t="s">
        <v>1303</v>
      </c>
      <c r="I191" s="0" t="s">
        <v>1071</v>
      </c>
      <c r="J191" s="0" t="s">
        <v>1304</v>
      </c>
      <c r="K191" s="0" t="s">
        <v>46</v>
      </c>
      <c r="L191" s="0" t="str">
        <f aca="false">HYPERLINK("https://www.ncbi.nlm.nih.gov/snp/rs190927913", "rs190927913")</f>
        <v>rs190927913</v>
      </c>
      <c r="M191" s="0" t="str">
        <f aca="false">HYPERLINK("https://www.genecards.org/Search/Keyword?queryString=%5Baliases%5D(%20FCGBP%20)&amp;keywords=FCGBP", "FCGBP")</f>
        <v>FCGBP</v>
      </c>
      <c r="N191" s="0" t="s">
        <v>63</v>
      </c>
      <c r="O191" s="0" t="s">
        <v>46</v>
      </c>
      <c r="P191" s="0" t="s">
        <v>46</v>
      </c>
      <c r="Q191" s="0" t="n">
        <v>0.0172</v>
      </c>
      <c r="R191" s="0" t="n">
        <v>0.0166</v>
      </c>
      <c r="S191" s="0" t="n">
        <v>0.0173</v>
      </c>
      <c r="T191" s="0" t="n">
        <v>-1</v>
      </c>
      <c r="U191" s="0" t="n">
        <v>0.0174</v>
      </c>
      <c r="V191" s="0" t="s">
        <v>46</v>
      </c>
      <c r="W191" s="0" t="s">
        <v>49</v>
      </c>
      <c r="X191" s="0" t="s">
        <v>49</v>
      </c>
      <c r="Y191" s="0" t="s">
        <v>50</v>
      </c>
      <c r="Z191" s="0" t="s">
        <v>46</v>
      </c>
      <c r="AA191" s="0" t="s">
        <v>46</v>
      </c>
      <c r="AB191" s="0" t="s">
        <v>46</v>
      </c>
      <c r="AC191" s="0" t="s">
        <v>52</v>
      </c>
      <c r="AD191" s="0" t="s">
        <v>53</v>
      </c>
      <c r="AE191" s="0" t="s">
        <v>46</v>
      </c>
      <c r="AF191" s="0" t="s">
        <v>1305</v>
      </c>
      <c r="AG191" s="0" t="s">
        <v>1306</v>
      </c>
      <c r="AH191" s="0" t="s">
        <v>46</v>
      </c>
      <c r="AI191" s="0" t="s">
        <v>46</v>
      </c>
      <c r="AJ191" s="0" t="s">
        <v>46</v>
      </c>
      <c r="AK191" s="0" t="s">
        <v>46</v>
      </c>
      <c r="AL191" s="0" t="s">
        <v>195</v>
      </c>
    </row>
    <row r="192" customFormat="false" ht="15" hidden="false" customHeight="false" outlineLevel="0" collapsed="false">
      <c r="B192" s="0" t="str">
        <f aca="false">HYPERLINK("https://genome.ucsc.edu/cgi-bin/hgTracks?db=hg19&amp;position=chr19%3A41387458%2D41387458", "chr19:41387458")</f>
        <v>chr19:41387458</v>
      </c>
      <c r="C192" s="0" t="s">
        <v>38</v>
      </c>
      <c r="D192" s="0" t="n">
        <v>41387458</v>
      </c>
      <c r="E192" s="0" t="n">
        <v>41387458</v>
      </c>
      <c r="F192" s="0" t="s">
        <v>58</v>
      </c>
      <c r="G192" s="0" t="s">
        <v>72</v>
      </c>
      <c r="H192" s="0" t="s">
        <v>1307</v>
      </c>
      <c r="I192" s="0" t="s">
        <v>1308</v>
      </c>
      <c r="J192" s="0" t="s">
        <v>1309</v>
      </c>
      <c r="K192" s="0" t="s">
        <v>46</v>
      </c>
      <c r="L192" s="0" t="str">
        <f aca="false">HYPERLINK("https://www.ncbi.nlm.nih.gov/snp/rs187665825", "rs187665825")</f>
        <v>rs187665825</v>
      </c>
      <c r="M192" s="0" t="str">
        <f aca="false">HYPERLINK("https://www.genecards.org/Search/Keyword?queryString=%5Baliases%5D(%20CYP2A7%20)&amp;keywords=CYP2A7", "CYP2A7")</f>
        <v>CYP2A7</v>
      </c>
      <c r="N192" s="0" t="s">
        <v>63</v>
      </c>
      <c r="O192" s="0" t="s">
        <v>46</v>
      </c>
      <c r="P192" s="0" t="s">
        <v>46</v>
      </c>
      <c r="Q192" s="0" t="n">
        <v>0.0032</v>
      </c>
      <c r="R192" s="0" t="n">
        <v>0.0033</v>
      </c>
      <c r="S192" s="0" t="n">
        <v>0.0032</v>
      </c>
      <c r="T192" s="0" t="n">
        <v>-1</v>
      </c>
      <c r="U192" s="0" t="n">
        <v>0.0024</v>
      </c>
      <c r="V192" s="0" t="s">
        <v>46</v>
      </c>
      <c r="W192" s="0" t="s">
        <v>46</v>
      </c>
      <c r="X192" s="0" t="s">
        <v>49</v>
      </c>
      <c r="Y192" s="0" t="s">
        <v>64</v>
      </c>
      <c r="Z192" s="0" t="s">
        <v>46</v>
      </c>
      <c r="AA192" s="0" t="s">
        <v>46</v>
      </c>
      <c r="AB192" s="0" t="s">
        <v>46</v>
      </c>
      <c r="AC192" s="0" t="s">
        <v>52</v>
      </c>
      <c r="AD192" s="0" t="s">
        <v>53</v>
      </c>
      <c r="AE192" s="0" t="s">
        <v>1310</v>
      </c>
      <c r="AF192" s="0" t="s">
        <v>1311</v>
      </c>
      <c r="AG192" s="0" t="s">
        <v>1312</v>
      </c>
      <c r="AH192" s="0" t="s">
        <v>46</v>
      </c>
      <c r="AI192" s="0" t="s">
        <v>46</v>
      </c>
      <c r="AJ192" s="0" t="s">
        <v>46</v>
      </c>
      <c r="AK192" s="0" t="s">
        <v>46</v>
      </c>
      <c r="AL192" s="0" t="s">
        <v>397</v>
      </c>
    </row>
    <row r="193" customFormat="false" ht="15" hidden="false" customHeight="false" outlineLevel="0" collapsed="false">
      <c r="B193" s="0" t="str">
        <f aca="false">HYPERLINK("https://genome.ucsc.edu/cgi-bin/hgTracks?db=hg19&amp;position=chr19%3A46273469%2D46273489", "chr19:46273469")</f>
        <v>chr19:46273469</v>
      </c>
      <c r="C193" s="0" t="s">
        <v>38</v>
      </c>
      <c r="D193" s="0" t="n">
        <v>46273469</v>
      </c>
      <c r="E193" s="0" t="n">
        <v>46273489</v>
      </c>
      <c r="F193" s="0" t="s">
        <v>1313</v>
      </c>
      <c r="G193" s="0" t="s">
        <v>312</v>
      </c>
      <c r="H193" s="0" t="s">
        <v>1314</v>
      </c>
      <c r="I193" s="0" t="s">
        <v>374</v>
      </c>
      <c r="J193" s="0" t="s">
        <v>1315</v>
      </c>
      <c r="K193" s="0" t="s">
        <v>46</v>
      </c>
      <c r="L193" s="0" t="s">
        <v>46</v>
      </c>
      <c r="M193" s="0" t="str">
        <f aca="false">HYPERLINK("https://www.genecards.org/Search/Keyword?queryString=%5Baliases%5D(%20DM1-AS%20)%20OR%20%5Baliases%5D(%20DMPK%20)&amp;keywords=DM1-AS,DMPK", "DM1-AS;DMPK")</f>
        <v>DM1-AS;DMPK</v>
      </c>
      <c r="N193" s="0" t="s">
        <v>338</v>
      </c>
      <c r="O193" s="0" t="s">
        <v>46</v>
      </c>
      <c r="P193" s="0" t="s">
        <v>1316</v>
      </c>
      <c r="Q193" s="0" t="n">
        <v>-1</v>
      </c>
      <c r="R193" s="0" t="n">
        <v>-1</v>
      </c>
      <c r="S193" s="0" t="n">
        <v>-1</v>
      </c>
      <c r="T193" s="0" t="n">
        <v>-1</v>
      </c>
      <c r="U193" s="0" t="n">
        <v>-1</v>
      </c>
      <c r="V193" s="0" t="s">
        <v>46</v>
      </c>
      <c r="W193" s="0" t="s">
        <v>46</v>
      </c>
      <c r="X193" s="0" t="s">
        <v>46</v>
      </c>
      <c r="Y193" s="0" t="s">
        <v>46</v>
      </c>
      <c r="Z193" s="0" t="s">
        <v>46</v>
      </c>
      <c r="AA193" s="0" t="s">
        <v>46</v>
      </c>
      <c r="AB193" s="0" t="s">
        <v>46</v>
      </c>
      <c r="AC193" s="0" t="s">
        <v>319</v>
      </c>
      <c r="AD193" s="0" t="s">
        <v>182</v>
      </c>
      <c r="AE193" s="0" t="s">
        <v>1317</v>
      </c>
      <c r="AF193" s="0" t="s">
        <v>1318</v>
      </c>
      <c r="AG193" s="0" t="s">
        <v>1319</v>
      </c>
      <c r="AH193" s="0" t="s">
        <v>1320</v>
      </c>
      <c r="AI193" s="0" t="s">
        <v>929</v>
      </c>
      <c r="AJ193" s="0" t="s">
        <v>46</v>
      </c>
      <c r="AK193" s="0" t="s">
        <v>46</v>
      </c>
      <c r="AL193" s="0" t="s">
        <v>46</v>
      </c>
    </row>
    <row r="194" customFormat="false" ht="15" hidden="false" customHeight="false" outlineLevel="0" collapsed="false">
      <c r="B194" s="0" t="str">
        <f aca="false">HYPERLINK("https://genome.ucsc.edu/cgi-bin/hgTracks?db=hg19&amp;position=chr2%3A9989570%2D9989570", "chr2:9989570")</f>
        <v>chr2:9989570</v>
      </c>
      <c r="C194" s="0" t="s">
        <v>122</v>
      </c>
      <c r="D194" s="0" t="n">
        <v>9989570</v>
      </c>
      <c r="E194" s="0" t="n">
        <v>9989570</v>
      </c>
      <c r="F194" s="0" t="s">
        <v>312</v>
      </c>
      <c r="G194" s="0" t="s">
        <v>72</v>
      </c>
      <c r="H194" s="0" t="s">
        <v>1321</v>
      </c>
      <c r="I194" s="0" t="s">
        <v>1322</v>
      </c>
      <c r="J194" s="0" t="s">
        <v>1323</v>
      </c>
      <c r="K194" s="0" t="s">
        <v>46</v>
      </c>
      <c r="L194" s="0" t="str">
        <f aca="false">HYPERLINK("https://www.ncbi.nlm.nih.gov/snp/rs754654075", "rs754654075")</f>
        <v>rs754654075</v>
      </c>
      <c r="M194" s="0" t="str">
        <f aca="false">HYPERLINK("https://www.genecards.org/Search/Keyword?queryString=%5Baliases%5D(%20TAF1B%20)&amp;keywords=TAF1B", "TAF1B")</f>
        <v>TAF1B</v>
      </c>
      <c r="N194" s="0" t="s">
        <v>77</v>
      </c>
      <c r="O194" s="0" t="s">
        <v>357</v>
      </c>
      <c r="P194" s="0" t="s">
        <v>1324</v>
      </c>
      <c r="Q194" s="0" t="n">
        <v>0.0277</v>
      </c>
      <c r="R194" s="0" t="n">
        <v>0.0054</v>
      </c>
      <c r="S194" s="0" t="n">
        <v>0.0009</v>
      </c>
      <c r="T194" s="0" t="n">
        <v>-1</v>
      </c>
      <c r="U194" s="0" t="n">
        <v>0.0022</v>
      </c>
      <c r="V194" s="0" t="s">
        <v>46</v>
      </c>
      <c r="W194" s="0" t="s">
        <v>46</v>
      </c>
      <c r="X194" s="0" t="s">
        <v>46</v>
      </c>
      <c r="Y194" s="0" t="s">
        <v>46</v>
      </c>
      <c r="Z194" s="0" t="s">
        <v>46</v>
      </c>
      <c r="AA194" s="0" t="s">
        <v>46</v>
      </c>
      <c r="AB194" s="0" t="s">
        <v>46</v>
      </c>
      <c r="AC194" s="0" t="s">
        <v>52</v>
      </c>
      <c r="AD194" s="0" t="s">
        <v>53</v>
      </c>
      <c r="AE194" s="0" t="s">
        <v>1325</v>
      </c>
      <c r="AF194" s="0" t="s">
        <v>1326</v>
      </c>
      <c r="AG194" s="0" t="s">
        <v>1327</v>
      </c>
      <c r="AH194" s="0" t="s">
        <v>46</v>
      </c>
      <c r="AI194" s="0" t="s">
        <v>46</v>
      </c>
      <c r="AJ194" s="0" t="s">
        <v>46</v>
      </c>
      <c r="AK194" s="0" t="s">
        <v>46</v>
      </c>
      <c r="AL194" s="0" t="s">
        <v>46</v>
      </c>
    </row>
    <row r="195" customFormat="false" ht="15" hidden="false" customHeight="false" outlineLevel="0" collapsed="false">
      <c r="B195" s="0" t="str">
        <f aca="false">HYPERLINK("https://genome.ucsc.edu/cgi-bin/hgTracks?db=hg19&amp;position=chr2%3A24951490%2D24951490", "chr2:24951490")</f>
        <v>chr2:24951490</v>
      </c>
      <c r="C195" s="0" t="s">
        <v>122</v>
      </c>
      <c r="D195" s="0" t="n">
        <v>24951490</v>
      </c>
      <c r="E195" s="0" t="n">
        <v>24951490</v>
      </c>
      <c r="F195" s="0" t="s">
        <v>39</v>
      </c>
      <c r="G195" s="0" t="s">
        <v>58</v>
      </c>
      <c r="H195" s="0" t="s">
        <v>1328</v>
      </c>
      <c r="I195" s="0" t="s">
        <v>660</v>
      </c>
      <c r="J195" s="0" t="s">
        <v>766</v>
      </c>
      <c r="K195" s="0" t="s">
        <v>46</v>
      </c>
      <c r="L195" s="0" t="str">
        <f aca="false">HYPERLINK("https://www.ncbi.nlm.nih.gov/snp/rs1054406431", "rs1054406431")</f>
        <v>rs1054406431</v>
      </c>
      <c r="M195" s="0" t="str">
        <f aca="false">HYPERLINK("https://www.genecards.org/Search/Keyword?queryString=%5Baliases%5D(%20NCOA1%20)&amp;keywords=NCOA1", "NCOA1")</f>
        <v>NCOA1</v>
      </c>
      <c r="N195" s="0" t="s">
        <v>63</v>
      </c>
      <c r="O195" s="0" t="s">
        <v>46</v>
      </c>
      <c r="P195" s="0" t="s">
        <v>46</v>
      </c>
      <c r="Q195" s="0" t="n">
        <v>0.0003</v>
      </c>
      <c r="R195" s="0" t="n">
        <v>0.0004</v>
      </c>
      <c r="S195" s="0" t="n">
        <v>0.0002</v>
      </c>
      <c r="T195" s="0" t="n">
        <v>-1</v>
      </c>
      <c r="U195" s="0" t="n">
        <v>0.0006</v>
      </c>
      <c r="V195" s="0" t="s">
        <v>46</v>
      </c>
      <c r="W195" s="0" t="s">
        <v>46</v>
      </c>
      <c r="X195" s="0" t="s">
        <v>385</v>
      </c>
      <c r="Y195" s="0" t="s">
        <v>64</v>
      </c>
      <c r="Z195" s="0" t="s">
        <v>46</v>
      </c>
      <c r="AA195" s="0" t="s">
        <v>46</v>
      </c>
      <c r="AB195" s="0" t="s">
        <v>46</v>
      </c>
      <c r="AC195" s="0" t="s">
        <v>52</v>
      </c>
      <c r="AD195" s="0" t="s">
        <v>53</v>
      </c>
      <c r="AE195" s="0" t="s">
        <v>1329</v>
      </c>
      <c r="AF195" s="0" t="s">
        <v>1330</v>
      </c>
      <c r="AG195" s="0" t="s">
        <v>1331</v>
      </c>
      <c r="AH195" s="0" t="s">
        <v>1332</v>
      </c>
      <c r="AI195" s="0" t="s">
        <v>46</v>
      </c>
      <c r="AJ195" s="0" t="s">
        <v>46</v>
      </c>
      <c r="AK195" s="0" t="s">
        <v>46</v>
      </c>
      <c r="AL195" s="0" t="s">
        <v>46</v>
      </c>
    </row>
    <row r="196" customFormat="false" ht="15" hidden="false" customHeight="false" outlineLevel="0" collapsed="false">
      <c r="B196" s="0" t="str">
        <f aca="false">HYPERLINK("https://genome.ucsc.edu/cgi-bin/hgTracks?db=hg19&amp;position=chr2%3A43937724%2D43937724", "chr2:43937724")</f>
        <v>chr2:43937724</v>
      </c>
      <c r="C196" s="0" t="s">
        <v>122</v>
      </c>
      <c r="D196" s="0" t="n">
        <v>43937724</v>
      </c>
      <c r="E196" s="0" t="n">
        <v>43937724</v>
      </c>
      <c r="F196" s="0" t="s">
        <v>39</v>
      </c>
      <c r="G196" s="0" t="s">
        <v>312</v>
      </c>
      <c r="H196" s="0" t="s">
        <v>1333</v>
      </c>
      <c r="I196" s="0" t="s">
        <v>706</v>
      </c>
      <c r="J196" s="0" t="s">
        <v>1334</v>
      </c>
      <c r="K196" s="0" t="s">
        <v>46</v>
      </c>
      <c r="L196" s="0" t="s">
        <v>46</v>
      </c>
      <c r="M196" s="0" t="str">
        <f aca="false">HYPERLINK("https://www.genecards.org/Search/Keyword?queryString=%5Baliases%5D(%20PLEKHH2%20)&amp;keywords=PLEKHH2", "PLEKHH2")</f>
        <v>PLEKHH2</v>
      </c>
      <c r="N196" s="0" t="s">
        <v>601</v>
      </c>
      <c r="O196" s="0" t="s">
        <v>623</v>
      </c>
      <c r="P196" s="0" t="s">
        <v>1335</v>
      </c>
      <c r="Q196" s="0" t="n">
        <v>1.94E-005</v>
      </c>
      <c r="R196" s="0" t="n">
        <v>-1</v>
      </c>
      <c r="S196" s="0" t="n">
        <v>-1</v>
      </c>
      <c r="T196" s="0" t="n">
        <v>-1</v>
      </c>
      <c r="U196" s="0" t="n">
        <v>-1</v>
      </c>
      <c r="V196" s="0" t="s">
        <v>46</v>
      </c>
      <c r="W196" s="0" t="s">
        <v>46</v>
      </c>
      <c r="X196" s="0" t="s">
        <v>46</v>
      </c>
      <c r="Y196" s="0" t="s">
        <v>46</v>
      </c>
      <c r="Z196" s="0" t="s">
        <v>46</v>
      </c>
      <c r="AA196" s="0" t="s">
        <v>46</v>
      </c>
      <c r="AB196" s="0" t="s">
        <v>46</v>
      </c>
      <c r="AC196" s="0" t="s">
        <v>319</v>
      </c>
      <c r="AD196" s="0" t="s">
        <v>94</v>
      </c>
      <c r="AE196" s="0" t="s">
        <v>1336</v>
      </c>
      <c r="AF196" s="0" t="s">
        <v>1337</v>
      </c>
      <c r="AG196" s="0" t="s">
        <v>1338</v>
      </c>
      <c r="AH196" s="0" t="s">
        <v>46</v>
      </c>
      <c r="AI196" s="0" t="s">
        <v>46</v>
      </c>
      <c r="AJ196" s="0" t="s">
        <v>46</v>
      </c>
      <c r="AK196" s="0" t="s">
        <v>46</v>
      </c>
      <c r="AL196" s="0" t="s">
        <v>46</v>
      </c>
    </row>
    <row r="197" customFormat="false" ht="15" hidden="false" customHeight="false" outlineLevel="0" collapsed="false">
      <c r="B197" s="0" t="str">
        <f aca="false">HYPERLINK("https://genome.ucsc.edu/cgi-bin/hgTracks?db=hg19&amp;position=chr2%3A43937724%2D43937724", "chr2:43937724")</f>
        <v>chr2:43937724</v>
      </c>
      <c r="C197" s="0" t="s">
        <v>122</v>
      </c>
      <c r="D197" s="0" t="n">
        <v>43937724</v>
      </c>
      <c r="E197" s="0" t="n">
        <v>43937724</v>
      </c>
      <c r="F197" s="0" t="s">
        <v>312</v>
      </c>
      <c r="G197" s="0" t="s">
        <v>39</v>
      </c>
      <c r="H197" s="0" t="s">
        <v>1333</v>
      </c>
      <c r="I197" s="0" t="s">
        <v>706</v>
      </c>
      <c r="J197" s="0" t="s">
        <v>1334</v>
      </c>
      <c r="K197" s="0" t="s">
        <v>46</v>
      </c>
      <c r="L197" s="0" t="s">
        <v>46</v>
      </c>
      <c r="M197" s="0" t="str">
        <f aca="false">HYPERLINK("https://www.genecards.org/Search/Keyword?queryString=%5Baliases%5D(%20PLEKHH2%20)&amp;keywords=PLEKHH2", "PLEKHH2")</f>
        <v>PLEKHH2</v>
      </c>
      <c r="N197" s="0" t="s">
        <v>601</v>
      </c>
      <c r="O197" s="0" t="s">
        <v>357</v>
      </c>
      <c r="P197" s="0" t="s">
        <v>1339</v>
      </c>
      <c r="Q197" s="0" t="n">
        <v>-1</v>
      </c>
      <c r="R197" s="0" t="n">
        <v>-1</v>
      </c>
      <c r="S197" s="0" t="n">
        <v>-1</v>
      </c>
      <c r="T197" s="0" t="n">
        <v>-1</v>
      </c>
      <c r="U197" s="0" t="n">
        <v>-1</v>
      </c>
      <c r="V197" s="0" t="s">
        <v>46</v>
      </c>
      <c r="W197" s="0" t="s">
        <v>46</v>
      </c>
      <c r="X197" s="0" t="s">
        <v>46</v>
      </c>
      <c r="Y197" s="0" t="s">
        <v>46</v>
      </c>
      <c r="Z197" s="0" t="s">
        <v>46</v>
      </c>
      <c r="AA197" s="0" t="s">
        <v>46</v>
      </c>
      <c r="AB197" s="0" t="s">
        <v>46</v>
      </c>
      <c r="AC197" s="0" t="s">
        <v>319</v>
      </c>
      <c r="AD197" s="0" t="s">
        <v>94</v>
      </c>
      <c r="AE197" s="0" t="s">
        <v>1336</v>
      </c>
      <c r="AF197" s="0" t="s">
        <v>1337</v>
      </c>
      <c r="AG197" s="0" t="s">
        <v>1338</v>
      </c>
      <c r="AH197" s="0" t="s">
        <v>46</v>
      </c>
      <c r="AI197" s="0" t="s">
        <v>46</v>
      </c>
      <c r="AJ197" s="0" t="s">
        <v>46</v>
      </c>
      <c r="AK197" s="0" t="s">
        <v>46</v>
      </c>
      <c r="AL197" s="0" t="s">
        <v>46</v>
      </c>
    </row>
    <row r="198" s="2" customFormat="true" ht="15" hidden="false" customHeight="false" outlineLevel="0" collapsed="false">
      <c r="B198" s="2" t="str">
        <f aca="false">HYPERLINK("https://genome.ucsc.edu/cgi-bin/hgTracks?db=hg19&amp;position=chr2%3A47758996%2D47758996", "chr2:47758996")</f>
        <v>chr2:47758996</v>
      </c>
      <c r="C198" s="2" t="s">
        <v>122</v>
      </c>
      <c r="D198" s="2" t="n">
        <v>47758996</v>
      </c>
      <c r="E198" s="2" t="n">
        <v>47758996</v>
      </c>
      <c r="F198" s="2" t="s">
        <v>72</v>
      </c>
      <c r="G198" s="2" t="s">
        <v>39</v>
      </c>
      <c r="H198" s="2" t="s">
        <v>955</v>
      </c>
      <c r="I198" s="2" t="s">
        <v>1174</v>
      </c>
      <c r="J198" s="2" t="s">
        <v>1340</v>
      </c>
      <c r="K198" s="2" t="s">
        <v>46</v>
      </c>
      <c r="L198" s="2" t="s">
        <v>46</v>
      </c>
      <c r="M198" s="2" t="str">
        <f aca="false">HYPERLINK("https://www.genecards.org/Search/Keyword?queryString=%5Baliases%5D(%20KCNK12%20)%20OR%20%5Baliases%5D(%20MSH2%20)&amp;keywords=KCNK12,MSH2", "KCNK12;MSH2")</f>
        <v>KCNK12;MSH2</v>
      </c>
      <c r="N198" s="2" t="s">
        <v>366</v>
      </c>
      <c r="O198" s="2" t="s">
        <v>46</v>
      </c>
      <c r="P198" s="2" t="s">
        <v>46</v>
      </c>
      <c r="Q198" s="2" t="n">
        <v>-1</v>
      </c>
      <c r="R198" s="2" t="n">
        <v>-1</v>
      </c>
      <c r="S198" s="2" t="n">
        <v>-1</v>
      </c>
      <c r="T198" s="2" t="n">
        <v>-1</v>
      </c>
      <c r="U198" s="2" t="n">
        <v>-1</v>
      </c>
      <c r="V198" s="2" t="s">
        <v>46</v>
      </c>
      <c r="W198" s="2" t="s">
        <v>46</v>
      </c>
      <c r="X198" s="2" t="s">
        <v>46</v>
      </c>
      <c r="Y198" s="2" t="s">
        <v>46</v>
      </c>
      <c r="Z198" s="2" t="s">
        <v>46</v>
      </c>
      <c r="AA198" s="2" t="s">
        <v>46</v>
      </c>
      <c r="AB198" s="2" t="s">
        <v>46</v>
      </c>
      <c r="AC198" s="2" t="s">
        <v>52</v>
      </c>
      <c r="AD198" s="2" t="s">
        <v>182</v>
      </c>
      <c r="AE198" s="2" t="s">
        <v>1341</v>
      </c>
      <c r="AF198" s="2" t="s">
        <v>1342</v>
      </c>
      <c r="AG198" s="2" t="s">
        <v>1343</v>
      </c>
      <c r="AH198" s="2" t="s">
        <v>1344</v>
      </c>
      <c r="AI198" s="2" t="s">
        <v>46</v>
      </c>
      <c r="AJ198" s="2" t="s">
        <v>46</v>
      </c>
      <c r="AK198" s="2" t="s">
        <v>46</v>
      </c>
      <c r="AL198" s="2" t="s">
        <v>46</v>
      </c>
    </row>
    <row r="199" customFormat="false" ht="15" hidden="false" customHeight="false" outlineLevel="0" collapsed="false">
      <c r="B199" s="0" t="str">
        <f aca="false">HYPERLINK("https://genome.ucsc.edu/cgi-bin/hgTracks?db=hg19&amp;position=chr2%3A54587302%2D54587302", "chr2:54587302")</f>
        <v>chr2:54587302</v>
      </c>
      <c r="C199" s="0" t="s">
        <v>122</v>
      </c>
      <c r="D199" s="0" t="n">
        <v>54587302</v>
      </c>
      <c r="E199" s="0" t="n">
        <v>54587302</v>
      </c>
      <c r="F199" s="0" t="s">
        <v>58</v>
      </c>
      <c r="G199" s="0" t="s">
        <v>72</v>
      </c>
      <c r="H199" s="0" t="s">
        <v>1345</v>
      </c>
      <c r="I199" s="0" t="s">
        <v>418</v>
      </c>
      <c r="J199" s="0" t="s">
        <v>1346</v>
      </c>
      <c r="K199" s="0" t="s">
        <v>46</v>
      </c>
      <c r="L199" s="0" t="str">
        <f aca="false">HYPERLINK("https://www.ncbi.nlm.nih.gov/snp/rs74995512", "rs74995512")</f>
        <v>rs74995512</v>
      </c>
      <c r="M199" s="0" t="str">
        <f aca="false">HYPERLINK("https://www.genecards.org/Search/Keyword?queryString=%5Baliases%5D(%20C2orf73%20)&amp;keywords=C2orf73", "C2orf73")</f>
        <v>C2orf73</v>
      </c>
      <c r="N199" s="0" t="s">
        <v>63</v>
      </c>
      <c r="O199" s="0" t="s">
        <v>46</v>
      </c>
      <c r="P199" s="0" t="s">
        <v>46</v>
      </c>
      <c r="Q199" s="0" t="n">
        <v>0.0138</v>
      </c>
      <c r="R199" s="0" t="n">
        <v>0.0146</v>
      </c>
      <c r="S199" s="0" t="n">
        <v>0.0136</v>
      </c>
      <c r="T199" s="0" t="n">
        <v>-1</v>
      </c>
      <c r="U199" s="0" t="n">
        <v>0.016</v>
      </c>
      <c r="V199" s="0" t="s">
        <v>46</v>
      </c>
      <c r="W199" s="0" t="s">
        <v>46</v>
      </c>
      <c r="X199" s="0" t="s">
        <v>385</v>
      </c>
      <c r="Y199" s="0" t="s">
        <v>64</v>
      </c>
      <c r="Z199" s="0" t="s">
        <v>46</v>
      </c>
      <c r="AA199" s="0" t="s">
        <v>46</v>
      </c>
      <c r="AB199" s="0" t="s">
        <v>46</v>
      </c>
      <c r="AC199" s="0" t="s">
        <v>52</v>
      </c>
      <c r="AD199" s="0" t="s">
        <v>53</v>
      </c>
      <c r="AE199" s="0" t="s">
        <v>1347</v>
      </c>
      <c r="AF199" s="0" t="s">
        <v>1348</v>
      </c>
      <c r="AG199" s="0" t="s">
        <v>46</v>
      </c>
      <c r="AH199" s="0" t="s">
        <v>46</v>
      </c>
      <c r="AI199" s="0" t="s">
        <v>46</v>
      </c>
      <c r="AJ199" s="0" t="s">
        <v>46</v>
      </c>
      <c r="AK199" s="0" t="s">
        <v>46</v>
      </c>
      <c r="AL199" s="0" t="s">
        <v>46</v>
      </c>
    </row>
    <row r="200" customFormat="false" ht="15" hidden="false" customHeight="false" outlineLevel="0" collapsed="false">
      <c r="B200" s="0" t="str">
        <f aca="false">HYPERLINK("https://genome.ucsc.edu/cgi-bin/hgTracks?db=hg19&amp;position=chr2%3A62106158%2D62106158", "chr2:62106158")</f>
        <v>chr2:62106158</v>
      </c>
      <c r="C200" s="0" t="s">
        <v>122</v>
      </c>
      <c r="D200" s="0" t="n">
        <v>62106158</v>
      </c>
      <c r="E200" s="0" t="n">
        <v>62106158</v>
      </c>
      <c r="F200" s="0" t="s">
        <v>58</v>
      </c>
      <c r="G200" s="0" t="s">
        <v>40</v>
      </c>
      <c r="H200" s="0" t="s">
        <v>1349</v>
      </c>
      <c r="I200" s="0" t="s">
        <v>1104</v>
      </c>
      <c r="J200" s="0" t="s">
        <v>1350</v>
      </c>
      <c r="K200" s="0" t="s">
        <v>46</v>
      </c>
      <c r="L200" s="0" t="str">
        <f aca="false">HYPERLINK("https://www.ncbi.nlm.nih.gov/snp/rs148601006", "rs148601006")</f>
        <v>rs148601006</v>
      </c>
      <c r="M200" s="0" t="str">
        <f aca="false">HYPERLINK("https://www.genecards.org/Search/Keyword?queryString=%5Baliases%5D(%20CCT4%20)&amp;keywords=CCT4", "CCT4")</f>
        <v>CCT4</v>
      </c>
      <c r="N200" s="0" t="s">
        <v>366</v>
      </c>
      <c r="O200" s="0" t="s">
        <v>46</v>
      </c>
      <c r="P200" s="0" t="s">
        <v>46</v>
      </c>
      <c r="Q200" s="0" t="n">
        <v>0.0129</v>
      </c>
      <c r="R200" s="0" t="n">
        <v>0.0095</v>
      </c>
      <c r="S200" s="0" t="n">
        <v>0.0096</v>
      </c>
      <c r="T200" s="0" t="n">
        <v>-1</v>
      </c>
      <c r="U200" s="0" t="n">
        <v>0.0092</v>
      </c>
      <c r="V200" s="0" t="s">
        <v>46</v>
      </c>
      <c r="W200" s="0" t="s">
        <v>39</v>
      </c>
      <c r="X200" s="0" t="s">
        <v>385</v>
      </c>
      <c r="Y200" s="0" t="s">
        <v>50</v>
      </c>
      <c r="Z200" s="0" t="s">
        <v>46</v>
      </c>
      <c r="AA200" s="0" t="s">
        <v>46</v>
      </c>
      <c r="AB200" s="0" t="s">
        <v>46</v>
      </c>
      <c r="AC200" s="0" t="s">
        <v>52</v>
      </c>
      <c r="AD200" s="0" t="s">
        <v>53</v>
      </c>
      <c r="AE200" s="0" t="s">
        <v>1351</v>
      </c>
      <c r="AF200" s="0" t="s">
        <v>1352</v>
      </c>
      <c r="AG200" s="0" t="s">
        <v>1353</v>
      </c>
      <c r="AH200" s="0" t="s">
        <v>46</v>
      </c>
      <c r="AI200" s="0" t="s">
        <v>46</v>
      </c>
      <c r="AJ200" s="0" t="s">
        <v>46</v>
      </c>
      <c r="AK200" s="0" t="s">
        <v>46</v>
      </c>
      <c r="AL200" s="0" t="s">
        <v>46</v>
      </c>
    </row>
    <row r="201" customFormat="false" ht="15" hidden="false" customHeight="false" outlineLevel="0" collapsed="false">
      <c r="B201" s="0" t="str">
        <f aca="false">HYPERLINK("https://genome.ucsc.edu/cgi-bin/hgTracks?db=hg19&amp;position=chr2%3A70097120%2D70097120", "chr2:70097120")</f>
        <v>chr2:70097120</v>
      </c>
      <c r="C201" s="0" t="s">
        <v>122</v>
      </c>
      <c r="D201" s="0" t="n">
        <v>70097120</v>
      </c>
      <c r="E201" s="0" t="n">
        <v>70097120</v>
      </c>
      <c r="F201" s="0" t="s">
        <v>58</v>
      </c>
      <c r="G201" s="0" t="s">
        <v>72</v>
      </c>
      <c r="H201" s="0" t="s">
        <v>1354</v>
      </c>
      <c r="I201" s="0" t="s">
        <v>825</v>
      </c>
      <c r="J201" s="0" t="s">
        <v>1355</v>
      </c>
      <c r="K201" s="0" t="s">
        <v>46</v>
      </c>
      <c r="L201" s="0" t="str">
        <f aca="false">HYPERLINK("https://www.ncbi.nlm.nih.gov/snp/rs184698124", "rs184698124")</f>
        <v>rs184698124</v>
      </c>
      <c r="M201" s="0" t="str">
        <f aca="false">HYPERLINK("https://www.genecards.org/Search/Keyword?queryString=%5Baliases%5D(%20GMCL1%20)&amp;keywords=GMCL1", "GMCL1")</f>
        <v>GMCL1</v>
      </c>
      <c r="N201" s="0" t="s">
        <v>63</v>
      </c>
      <c r="O201" s="0" t="s">
        <v>46</v>
      </c>
      <c r="P201" s="0" t="s">
        <v>46</v>
      </c>
      <c r="Q201" s="0" t="n">
        <v>0.0139</v>
      </c>
      <c r="R201" s="0" t="n">
        <v>0.0072</v>
      </c>
      <c r="S201" s="0" t="n">
        <v>0.0072</v>
      </c>
      <c r="T201" s="0" t="n">
        <v>-1</v>
      </c>
      <c r="U201" s="0" t="n">
        <v>0.0075</v>
      </c>
      <c r="V201" s="0" t="s">
        <v>46</v>
      </c>
      <c r="W201" s="0" t="s">
        <v>46</v>
      </c>
      <c r="X201" s="0" t="s">
        <v>385</v>
      </c>
      <c r="Y201" s="0" t="s">
        <v>64</v>
      </c>
      <c r="Z201" s="0" t="s">
        <v>46</v>
      </c>
      <c r="AA201" s="0" t="s">
        <v>46</v>
      </c>
      <c r="AB201" s="0" t="s">
        <v>46</v>
      </c>
      <c r="AC201" s="0" t="s">
        <v>52</v>
      </c>
      <c r="AD201" s="0" t="s">
        <v>53</v>
      </c>
      <c r="AE201" s="0" t="s">
        <v>1356</v>
      </c>
      <c r="AF201" s="0" t="s">
        <v>1357</v>
      </c>
      <c r="AG201" s="0" t="s">
        <v>1358</v>
      </c>
      <c r="AH201" s="0" t="s">
        <v>46</v>
      </c>
      <c r="AI201" s="0" t="s">
        <v>46</v>
      </c>
      <c r="AJ201" s="0" t="s">
        <v>46</v>
      </c>
      <c r="AK201" s="0" t="s">
        <v>46</v>
      </c>
      <c r="AL201" s="0" t="s">
        <v>46</v>
      </c>
    </row>
    <row r="202" customFormat="false" ht="15" hidden="false" customHeight="false" outlineLevel="0" collapsed="false">
      <c r="B202" s="0" t="str">
        <f aca="false">HYPERLINK("https://genome.ucsc.edu/cgi-bin/hgTracks?db=hg19&amp;position=chr2%3A70456452%2D70456452", "chr2:70456452")</f>
        <v>chr2:70456452</v>
      </c>
      <c r="C202" s="0" t="s">
        <v>122</v>
      </c>
      <c r="D202" s="0" t="n">
        <v>70456452</v>
      </c>
      <c r="E202" s="0" t="n">
        <v>70456452</v>
      </c>
      <c r="F202" s="0" t="s">
        <v>312</v>
      </c>
      <c r="G202" s="0" t="s">
        <v>72</v>
      </c>
      <c r="H202" s="0" t="s">
        <v>1359</v>
      </c>
      <c r="I202" s="0" t="s">
        <v>424</v>
      </c>
      <c r="J202" s="0" t="s">
        <v>1360</v>
      </c>
      <c r="K202" s="0" t="s">
        <v>46</v>
      </c>
      <c r="L202" s="0" t="str">
        <f aca="false">HYPERLINK("https://www.ncbi.nlm.nih.gov/snp/rs750862626", "rs750862626")</f>
        <v>rs750862626</v>
      </c>
      <c r="M202" s="0" t="str">
        <f aca="false">HYPERLINK("https://www.genecards.org/Search/Keyword?queryString=%5Baliases%5D(%20TIA1%20)&amp;keywords=TIA1", "TIA1")</f>
        <v>TIA1</v>
      </c>
      <c r="N202" s="0" t="s">
        <v>45</v>
      </c>
      <c r="O202" s="0" t="s">
        <v>46</v>
      </c>
      <c r="P202" s="0" t="s">
        <v>1361</v>
      </c>
      <c r="Q202" s="0" t="n">
        <v>0.0098</v>
      </c>
      <c r="R202" s="0" t="n">
        <v>0.0037</v>
      </c>
      <c r="S202" s="0" t="n">
        <v>0.0023</v>
      </c>
      <c r="T202" s="0" t="n">
        <v>-1</v>
      </c>
      <c r="U202" s="0" t="n">
        <v>0.0078</v>
      </c>
      <c r="V202" s="0" t="s">
        <v>46</v>
      </c>
      <c r="W202" s="0" t="s">
        <v>46</v>
      </c>
      <c r="X202" s="0" t="s">
        <v>46</v>
      </c>
      <c r="Y202" s="0" t="s">
        <v>46</v>
      </c>
      <c r="Z202" s="0" t="s">
        <v>46</v>
      </c>
      <c r="AA202" s="0" t="s">
        <v>46</v>
      </c>
      <c r="AB202" s="0" t="s">
        <v>46</v>
      </c>
      <c r="AC202" s="0" t="s">
        <v>52</v>
      </c>
      <c r="AD202" s="0" t="s">
        <v>53</v>
      </c>
      <c r="AE202" s="0" t="s">
        <v>1362</v>
      </c>
      <c r="AF202" s="0" t="s">
        <v>1363</v>
      </c>
      <c r="AG202" s="0" t="s">
        <v>1364</v>
      </c>
      <c r="AH202" s="0" t="s">
        <v>1365</v>
      </c>
      <c r="AI202" s="0" t="s">
        <v>46</v>
      </c>
      <c r="AJ202" s="0" t="s">
        <v>46</v>
      </c>
      <c r="AK202" s="0" t="s">
        <v>46</v>
      </c>
      <c r="AL202" s="0" t="s">
        <v>46</v>
      </c>
    </row>
    <row r="203" customFormat="false" ht="15" hidden="false" customHeight="false" outlineLevel="0" collapsed="false">
      <c r="B203" s="0" t="str">
        <f aca="false">HYPERLINK("https://genome.ucsc.edu/cgi-bin/hgTracks?db=hg19&amp;position=chr2%3A71740600%2D71740600", "chr2:71740600")</f>
        <v>chr2:71740600</v>
      </c>
      <c r="C203" s="0" t="s">
        <v>122</v>
      </c>
      <c r="D203" s="0" t="n">
        <v>71740600</v>
      </c>
      <c r="E203" s="0" t="n">
        <v>71740600</v>
      </c>
      <c r="F203" s="0" t="s">
        <v>58</v>
      </c>
      <c r="G203" s="0" t="s">
        <v>72</v>
      </c>
      <c r="H203" s="0" t="s">
        <v>1366</v>
      </c>
      <c r="I203" s="0" t="s">
        <v>666</v>
      </c>
      <c r="J203" s="0" t="s">
        <v>667</v>
      </c>
      <c r="K203" s="0" t="s">
        <v>46</v>
      </c>
      <c r="L203" s="0" t="str">
        <f aca="false">HYPERLINK("https://www.ncbi.nlm.nih.gov/snp/rs746717855", "rs746717855")</f>
        <v>rs746717855</v>
      </c>
      <c r="M203" s="0" t="str">
        <f aca="false">HYPERLINK("https://www.genecards.org/Search/Keyword?queryString=%5Baliases%5D(%20DYSF%20)&amp;keywords=DYSF", "DYSF")</f>
        <v>DYSF</v>
      </c>
      <c r="N203" s="0" t="s">
        <v>63</v>
      </c>
      <c r="O203" s="0" t="s">
        <v>46</v>
      </c>
      <c r="P203" s="0" t="s">
        <v>46</v>
      </c>
      <c r="Q203" s="0" t="n">
        <v>0.0005</v>
      </c>
      <c r="R203" s="0" t="n">
        <v>0.0005</v>
      </c>
      <c r="S203" s="0" t="n">
        <v>0.0005</v>
      </c>
      <c r="T203" s="0" t="n">
        <v>-1</v>
      </c>
      <c r="U203" s="0" t="n">
        <v>0.0011</v>
      </c>
      <c r="V203" s="0" t="s">
        <v>46</v>
      </c>
      <c r="W203" s="0" t="s">
        <v>46</v>
      </c>
      <c r="X203" s="0" t="s">
        <v>49</v>
      </c>
      <c r="Y203" s="0" t="s">
        <v>64</v>
      </c>
      <c r="Z203" s="0" t="s">
        <v>46</v>
      </c>
      <c r="AA203" s="0" t="s">
        <v>46</v>
      </c>
      <c r="AB203" s="0" t="s">
        <v>46</v>
      </c>
      <c r="AC203" s="0" t="s">
        <v>52</v>
      </c>
      <c r="AD203" s="0" t="s">
        <v>53</v>
      </c>
      <c r="AE203" s="0" t="s">
        <v>1367</v>
      </c>
      <c r="AF203" s="0" t="s">
        <v>1368</v>
      </c>
      <c r="AG203" s="0" t="s">
        <v>1369</v>
      </c>
      <c r="AH203" s="0" t="s">
        <v>1370</v>
      </c>
      <c r="AI203" s="0" t="s">
        <v>46</v>
      </c>
      <c r="AJ203" s="0" t="s">
        <v>46</v>
      </c>
      <c r="AK203" s="0" t="s">
        <v>46</v>
      </c>
      <c r="AL203" s="0" t="s">
        <v>46</v>
      </c>
    </row>
    <row r="204" customFormat="false" ht="15" hidden="false" customHeight="false" outlineLevel="0" collapsed="false">
      <c r="B204" s="0" t="str">
        <f aca="false">HYPERLINK("https://genome.ucsc.edu/cgi-bin/hgTracks?db=hg19&amp;position=chr2%3A89102229%2D89102229", "chr2:89102229")</f>
        <v>chr2:89102229</v>
      </c>
      <c r="C204" s="0" t="s">
        <v>122</v>
      </c>
      <c r="D204" s="0" t="n">
        <v>89102229</v>
      </c>
      <c r="E204" s="0" t="n">
        <v>89102229</v>
      </c>
      <c r="F204" s="0" t="s">
        <v>58</v>
      </c>
      <c r="G204" s="0" t="s">
        <v>72</v>
      </c>
      <c r="H204" s="0" t="s">
        <v>1371</v>
      </c>
      <c r="I204" s="0" t="s">
        <v>1372</v>
      </c>
      <c r="J204" s="0" t="s">
        <v>1373</v>
      </c>
      <c r="K204" s="0" t="s">
        <v>46</v>
      </c>
      <c r="L204" s="0" t="str">
        <f aca="false">HYPERLINK("https://www.ncbi.nlm.nih.gov/snp/rs112683162", "rs112683162")</f>
        <v>rs112683162</v>
      </c>
      <c r="M204" s="0" t="str">
        <f aca="false">HYPERLINK("https://www.genecards.org/Search/Keyword?queryString=%5Baliases%5D(%20ANKRD36BP2%20)&amp;keywords=ANKRD36BP2", "ANKRD36BP2")</f>
        <v>ANKRD36BP2</v>
      </c>
      <c r="N204" s="0" t="s">
        <v>1374</v>
      </c>
      <c r="O204" s="0" t="s">
        <v>46</v>
      </c>
      <c r="P204" s="0" t="s">
        <v>1375</v>
      </c>
      <c r="Q204" s="0" t="n">
        <v>0.0210927</v>
      </c>
      <c r="R204" s="0" t="n">
        <v>0.0057</v>
      </c>
      <c r="S204" s="0" t="n">
        <v>0.0017</v>
      </c>
      <c r="T204" s="0" t="n">
        <v>-1</v>
      </c>
      <c r="U204" s="0" t="n">
        <v>0.0044</v>
      </c>
      <c r="V204" s="0" t="s">
        <v>46</v>
      </c>
      <c r="W204" s="0" t="s">
        <v>46</v>
      </c>
      <c r="X204" s="0" t="s">
        <v>46</v>
      </c>
      <c r="Y204" s="0" t="s">
        <v>46</v>
      </c>
      <c r="Z204" s="0" t="s">
        <v>46</v>
      </c>
      <c r="AA204" s="0" t="s">
        <v>46</v>
      </c>
      <c r="AB204" s="0" t="s">
        <v>46</v>
      </c>
      <c r="AC204" s="0" t="s">
        <v>52</v>
      </c>
      <c r="AD204" s="0" t="s">
        <v>53</v>
      </c>
      <c r="AE204" s="0" t="s">
        <v>46</v>
      </c>
      <c r="AF204" s="0" t="s">
        <v>1376</v>
      </c>
      <c r="AG204" s="0" t="s">
        <v>46</v>
      </c>
      <c r="AH204" s="0" t="s">
        <v>46</v>
      </c>
      <c r="AI204" s="0" t="s">
        <v>929</v>
      </c>
      <c r="AJ204" s="0" t="s">
        <v>46</v>
      </c>
      <c r="AK204" s="0" t="s">
        <v>46</v>
      </c>
      <c r="AL204" s="0" t="s">
        <v>46</v>
      </c>
    </row>
    <row r="205" customFormat="false" ht="15" hidden="false" customHeight="false" outlineLevel="0" collapsed="false">
      <c r="B205" s="0" t="str">
        <f aca="false">HYPERLINK("https://genome.ucsc.edu/cgi-bin/hgTracks?db=hg19&amp;position=chr2%3A96519559%2D96519562", "chr2:96519559")</f>
        <v>chr2:96519559</v>
      </c>
      <c r="C205" s="0" t="s">
        <v>122</v>
      </c>
      <c r="D205" s="0" t="n">
        <v>96519559</v>
      </c>
      <c r="E205" s="0" t="n">
        <v>96519562</v>
      </c>
      <c r="F205" s="0" t="s">
        <v>1377</v>
      </c>
      <c r="G205" s="0" t="s">
        <v>312</v>
      </c>
      <c r="H205" s="0" t="s">
        <v>1378</v>
      </c>
      <c r="I205" s="0" t="s">
        <v>1322</v>
      </c>
      <c r="J205" s="0" t="s">
        <v>1323</v>
      </c>
      <c r="K205" s="0" t="s">
        <v>46</v>
      </c>
      <c r="L205" s="0" t="str">
        <f aca="false">HYPERLINK("https://www.ncbi.nlm.nih.gov/snp/rs373126569", "rs373126569")</f>
        <v>rs373126569</v>
      </c>
      <c r="M205" s="0" t="str">
        <f aca="false">HYPERLINK("https://www.genecards.org/Search/Keyword?queryString=%5Baliases%5D(%20ANKRD36C%20)&amp;keywords=ANKRD36C", "ANKRD36C")</f>
        <v>ANKRD36C</v>
      </c>
      <c r="N205" s="0" t="s">
        <v>491</v>
      </c>
      <c r="O205" s="0" t="s">
        <v>623</v>
      </c>
      <c r="P205" s="0" t="s">
        <v>1379</v>
      </c>
      <c r="Q205" s="0" t="n">
        <v>0.0006015</v>
      </c>
      <c r="R205" s="0" t="n">
        <v>-1</v>
      </c>
      <c r="S205" s="0" t="n">
        <v>-1</v>
      </c>
      <c r="T205" s="0" t="n">
        <v>-1</v>
      </c>
      <c r="U205" s="0" t="n">
        <v>-1</v>
      </c>
      <c r="V205" s="0" t="s">
        <v>46</v>
      </c>
      <c r="W205" s="0" t="s">
        <v>46</v>
      </c>
      <c r="X205" s="0" t="s">
        <v>46</v>
      </c>
      <c r="Y205" s="0" t="s">
        <v>46</v>
      </c>
      <c r="Z205" s="0" t="s">
        <v>46</v>
      </c>
      <c r="AA205" s="0" t="s">
        <v>46</v>
      </c>
      <c r="AB205" s="0" t="s">
        <v>46</v>
      </c>
      <c r="AC205" s="0" t="s">
        <v>52</v>
      </c>
      <c r="AD205" s="0" t="s">
        <v>493</v>
      </c>
      <c r="AE205" s="0" t="s">
        <v>46</v>
      </c>
      <c r="AF205" s="0" t="s">
        <v>494</v>
      </c>
      <c r="AG205" s="0" t="s">
        <v>46</v>
      </c>
      <c r="AH205" s="0" t="s">
        <v>46</v>
      </c>
      <c r="AI205" s="0" t="s">
        <v>46</v>
      </c>
      <c r="AJ205" s="0" t="s">
        <v>46</v>
      </c>
      <c r="AK205" s="0" t="s">
        <v>46</v>
      </c>
      <c r="AL205" s="0" t="s">
        <v>46</v>
      </c>
    </row>
    <row r="206" customFormat="false" ht="15" hidden="false" customHeight="false" outlineLevel="0" collapsed="false">
      <c r="B206" s="0" t="str">
        <f aca="false">HYPERLINK("https://genome.ucsc.edu/cgi-bin/hgTracks?db=hg19&amp;position=chr2%3A96521245%2D96521248", "chr2:96521245")</f>
        <v>chr2:96521245</v>
      </c>
      <c r="C206" s="0" t="s">
        <v>122</v>
      </c>
      <c r="D206" s="0" t="n">
        <v>96521245</v>
      </c>
      <c r="E206" s="0" t="n">
        <v>96521248</v>
      </c>
      <c r="F206" s="0" t="s">
        <v>1380</v>
      </c>
      <c r="G206" s="0" t="s">
        <v>312</v>
      </c>
      <c r="H206" s="0" t="s">
        <v>1381</v>
      </c>
      <c r="I206" s="0" t="s">
        <v>1382</v>
      </c>
      <c r="J206" s="0" t="s">
        <v>1383</v>
      </c>
      <c r="K206" s="0" t="s">
        <v>46</v>
      </c>
      <c r="L206" s="0" t="str">
        <f aca="false">HYPERLINK("https://www.ncbi.nlm.nih.gov/snp/rs200875477", "rs200875477")</f>
        <v>rs200875477</v>
      </c>
      <c r="M206" s="0" t="str">
        <f aca="false">HYPERLINK("https://www.genecards.org/Search/Keyword?queryString=%5Baliases%5D(%20ANKRD36C%20)&amp;keywords=ANKRD36C", "ANKRD36C")</f>
        <v>ANKRD36C</v>
      </c>
      <c r="N206" s="0" t="s">
        <v>498</v>
      </c>
      <c r="O206" s="0" t="s">
        <v>623</v>
      </c>
      <c r="P206" s="0" t="s">
        <v>1384</v>
      </c>
      <c r="Q206" s="0" t="n">
        <v>6.5E-006</v>
      </c>
      <c r="R206" s="0" t="n">
        <v>-1</v>
      </c>
      <c r="S206" s="0" t="n">
        <v>-1</v>
      </c>
      <c r="T206" s="0" t="n">
        <v>-1</v>
      </c>
      <c r="U206" s="0" t="n">
        <v>-1</v>
      </c>
      <c r="V206" s="0" t="s">
        <v>46</v>
      </c>
      <c r="W206" s="0" t="s">
        <v>46</v>
      </c>
      <c r="X206" s="0" t="s">
        <v>46</v>
      </c>
      <c r="Y206" s="0" t="s">
        <v>46</v>
      </c>
      <c r="Z206" s="0" t="s">
        <v>46</v>
      </c>
      <c r="AA206" s="0" t="s">
        <v>46</v>
      </c>
      <c r="AB206" s="0" t="s">
        <v>46</v>
      </c>
      <c r="AC206" s="0" t="s">
        <v>52</v>
      </c>
      <c r="AD206" s="0" t="s">
        <v>493</v>
      </c>
      <c r="AE206" s="0" t="s">
        <v>46</v>
      </c>
      <c r="AF206" s="0" t="s">
        <v>494</v>
      </c>
      <c r="AG206" s="0" t="s">
        <v>46</v>
      </c>
      <c r="AH206" s="0" t="s">
        <v>46</v>
      </c>
      <c r="AI206" s="0" t="s">
        <v>46</v>
      </c>
      <c r="AJ206" s="0" t="s">
        <v>46</v>
      </c>
      <c r="AK206" s="0" t="s">
        <v>46</v>
      </c>
      <c r="AL206" s="0" t="s">
        <v>46</v>
      </c>
    </row>
    <row r="207" customFormat="false" ht="15" hidden="false" customHeight="false" outlineLevel="0" collapsed="false">
      <c r="B207" s="0" t="str">
        <f aca="false">HYPERLINK("https://genome.ucsc.edu/cgi-bin/hgTracks?db=hg19&amp;position=chr2%3A96521448%2D96521448", "chr2:96521448")</f>
        <v>chr2:96521448</v>
      </c>
      <c r="C207" s="0" t="s">
        <v>122</v>
      </c>
      <c r="D207" s="0" t="n">
        <v>96521448</v>
      </c>
      <c r="E207" s="0" t="n">
        <v>96521448</v>
      </c>
      <c r="F207" s="0" t="s">
        <v>312</v>
      </c>
      <c r="G207" s="0" t="s">
        <v>72</v>
      </c>
      <c r="H207" s="0" t="s">
        <v>1385</v>
      </c>
      <c r="I207" s="0" t="s">
        <v>1386</v>
      </c>
      <c r="J207" s="0" t="s">
        <v>1387</v>
      </c>
      <c r="K207" s="0" t="s">
        <v>46</v>
      </c>
      <c r="L207" s="0" t="str">
        <f aca="false">HYPERLINK("https://www.ncbi.nlm.nih.gov/snp/rs113448291", "rs113448291")</f>
        <v>rs113448291</v>
      </c>
      <c r="M207" s="0" t="str">
        <f aca="false">HYPERLINK("https://www.genecards.org/Search/Keyword?queryString=%5Baliases%5D(%20ANKRD36C%20)&amp;keywords=ANKRD36C", "ANKRD36C")</f>
        <v>ANKRD36C</v>
      </c>
      <c r="N207" s="0" t="s">
        <v>498</v>
      </c>
      <c r="O207" s="0" t="s">
        <v>328</v>
      </c>
      <c r="P207" s="0" t="s">
        <v>1388</v>
      </c>
      <c r="Q207" s="0" t="n">
        <v>0.0008215</v>
      </c>
      <c r="R207" s="0" t="n">
        <v>-1</v>
      </c>
      <c r="S207" s="0" t="n">
        <v>-1</v>
      </c>
      <c r="T207" s="0" t="n">
        <v>-1</v>
      </c>
      <c r="U207" s="0" t="n">
        <v>-1</v>
      </c>
      <c r="V207" s="0" t="s">
        <v>46</v>
      </c>
      <c r="W207" s="0" t="s">
        <v>46</v>
      </c>
      <c r="X207" s="0" t="s">
        <v>46</v>
      </c>
      <c r="Y207" s="0" t="s">
        <v>46</v>
      </c>
      <c r="Z207" s="0" t="s">
        <v>46</v>
      </c>
      <c r="AA207" s="0" t="s">
        <v>46</v>
      </c>
      <c r="AB207" s="0" t="s">
        <v>46</v>
      </c>
      <c r="AC207" s="0" t="s">
        <v>52</v>
      </c>
      <c r="AD207" s="0" t="s">
        <v>493</v>
      </c>
      <c r="AE207" s="0" t="s">
        <v>46</v>
      </c>
      <c r="AF207" s="0" t="s">
        <v>494</v>
      </c>
      <c r="AG207" s="0" t="s">
        <v>46</v>
      </c>
      <c r="AH207" s="0" t="s">
        <v>46</v>
      </c>
      <c r="AI207" s="0" t="s">
        <v>46</v>
      </c>
      <c r="AJ207" s="0" t="s">
        <v>46</v>
      </c>
      <c r="AK207" s="0" t="s">
        <v>46</v>
      </c>
      <c r="AL207" s="0" t="s">
        <v>46</v>
      </c>
    </row>
    <row r="208" customFormat="false" ht="15" hidden="false" customHeight="false" outlineLevel="0" collapsed="false">
      <c r="B208" s="0" t="str">
        <f aca="false">HYPERLINK("https://genome.ucsc.edu/cgi-bin/hgTracks?db=hg19&amp;position=chr2%3A96521464%2D96521464", "chr2:96521464")</f>
        <v>chr2:96521464</v>
      </c>
      <c r="C208" s="0" t="s">
        <v>122</v>
      </c>
      <c r="D208" s="0" t="n">
        <v>96521464</v>
      </c>
      <c r="E208" s="0" t="n">
        <v>96521464</v>
      </c>
      <c r="F208" s="0" t="s">
        <v>312</v>
      </c>
      <c r="G208" s="0" t="s">
        <v>1389</v>
      </c>
      <c r="H208" s="0" t="s">
        <v>1390</v>
      </c>
      <c r="I208" s="0" t="s">
        <v>1391</v>
      </c>
      <c r="J208" s="0" t="s">
        <v>1392</v>
      </c>
      <c r="K208" s="0" t="s">
        <v>46</v>
      </c>
      <c r="L208" s="0" t="s">
        <v>46</v>
      </c>
      <c r="M208" s="0" t="str">
        <f aca="false">HYPERLINK("https://www.genecards.org/Search/Keyword?queryString=%5Baliases%5D(%20ANKRD36C%20)&amp;keywords=ANKRD36C", "ANKRD36C")</f>
        <v>ANKRD36C</v>
      </c>
      <c r="N208" s="0" t="s">
        <v>498</v>
      </c>
      <c r="O208" s="0" t="s">
        <v>357</v>
      </c>
      <c r="P208" s="0" t="s">
        <v>1393</v>
      </c>
      <c r="Q208" s="0" t="n">
        <v>-1</v>
      </c>
      <c r="R208" s="0" t="n">
        <v>-1</v>
      </c>
      <c r="S208" s="0" t="n">
        <v>-1</v>
      </c>
      <c r="T208" s="0" t="n">
        <v>-1</v>
      </c>
      <c r="U208" s="0" t="n">
        <v>-1</v>
      </c>
      <c r="V208" s="0" t="s">
        <v>46</v>
      </c>
      <c r="W208" s="0" t="s">
        <v>46</v>
      </c>
      <c r="X208" s="0" t="s">
        <v>46</v>
      </c>
      <c r="Y208" s="0" t="s">
        <v>46</v>
      </c>
      <c r="Z208" s="0" t="s">
        <v>46</v>
      </c>
      <c r="AA208" s="0" t="s">
        <v>46</v>
      </c>
      <c r="AB208" s="0" t="s">
        <v>46</v>
      </c>
      <c r="AC208" s="0" t="s">
        <v>52</v>
      </c>
      <c r="AD208" s="0" t="s">
        <v>493</v>
      </c>
      <c r="AE208" s="0" t="s">
        <v>46</v>
      </c>
      <c r="AF208" s="0" t="s">
        <v>494</v>
      </c>
      <c r="AG208" s="0" t="s">
        <v>46</v>
      </c>
      <c r="AH208" s="0" t="s">
        <v>46</v>
      </c>
      <c r="AI208" s="0" t="s">
        <v>46</v>
      </c>
      <c r="AJ208" s="0" t="s">
        <v>46</v>
      </c>
      <c r="AK208" s="0" t="s">
        <v>46</v>
      </c>
      <c r="AL208" s="0" t="s">
        <v>46</v>
      </c>
    </row>
    <row r="209" customFormat="false" ht="15" hidden="false" customHeight="false" outlineLevel="0" collapsed="false">
      <c r="B209" s="0" t="str">
        <f aca="false">HYPERLINK("https://genome.ucsc.edu/cgi-bin/hgTracks?db=hg19&amp;position=chr2%3A96521477%2D96521477", "chr2:96521477")</f>
        <v>chr2:96521477</v>
      </c>
      <c r="C209" s="0" t="s">
        <v>122</v>
      </c>
      <c r="D209" s="0" t="n">
        <v>96521477</v>
      </c>
      <c r="E209" s="0" t="n">
        <v>96521477</v>
      </c>
      <c r="F209" s="0" t="s">
        <v>312</v>
      </c>
      <c r="G209" s="0" t="s">
        <v>58</v>
      </c>
      <c r="H209" s="0" t="s">
        <v>1394</v>
      </c>
      <c r="I209" s="0" t="s">
        <v>1395</v>
      </c>
      <c r="J209" s="0" t="s">
        <v>1396</v>
      </c>
      <c r="K209" s="0" t="s">
        <v>46</v>
      </c>
      <c r="L209" s="0" t="s">
        <v>46</v>
      </c>
      <c r="M209" s="0" t="str">
        <f aca="false">HYPERLINK("https://www.genecards.org/Search/Keyword?queryString=%5Baliases%5D(%20ANKRD36C%20)&amp;keywords=ANKRD36C", "ANKRD36C")</f>
        <v>ANKRD36C</v>
      </c>
      <c r="N209" s="0" t="s">
        <v>498</v>
      </c>
      <c r="O209" s="0" t="s">
        <v>357</v>
      </c>
      <c r="P209" s="0" t="s">
        <v>1397</v>
      </c>
      <c r="Q209" s="0" t="n">
        <v>-1</v>
      </c>
      <c r="R209" s="0" t="n">
        <v>-1</v>
      </c>
      <c r="S209" s="0" t="n">
        <v>-1</v>
      </c>
      <c r="T209" s="0" t="n">
        <v>-1</v>
      </c>
      <c r="U209" s="0" t="n">
        <v>-1</v>
      </c>
      <c r="V209" s="0" t="s">
        <v>46</v>
      </c>
      <c r="W209" s="0" t="s">
        <v>46</v>
      </c>
      <c r="X209" s="0" t="s">
        <v>46</v>
      </c>
      <c r="Y209" s="0" t="s">
        <v>46</v>
      </c>
      <c r="Z209" s="0" t="s">
        <v>46</v>
      </c>
      <c r="AA209" s="0" t="s">
        <v>46</v>
      </c>
      <c r="AB209" s="0" t="s">
        <v>46</v>
      </c>
      <c r="AC209" s="0" t="s">
        <v>52</v>
      </c>
      <c r="AD209" s="0" t="s">
        <v>493</v>
      </c>
      <c r="AE209" s="0" t="s">
        <v>46</v>
      </c>
      <c r="AF209" s="0" t="s">
        <v>494</v>
      </c>
      <c r="AG209" s="0" t="s">
        <v>46</v>
      </c>
      <c r="AH209" s="0" t="s">
        <v>46</v>
      </c>
      <c r="AI209" s="0" t="s">
        <v>46</v>
      </c>
      <c r="AJ209" s="0" t="s">
        <v>46</v>
      </c>
      <c r="AK209" s="0" t="s">
        <v>46</v>
      </c>
      <c r="AL209" s="0" t="s">
        <v>46</v>
      </c>
    </row>
    <row r="210" customFormat="false" ht="15" hidden="false" customHeight="false" outlineLevel="0" collapsed="false">
      <c r="B210" s="0" t="str">
        <f aca="false">HYPERLINK("https://genome.ucsc.edu/cgi-bin/hgTracks?db=hg19&amp;position=chr2%3A96521479%2D96521479", "chr2:96521479")</f>
        <v>chr2:96521479</v>
      </c>
      <c r="C210" s="0" t="s">
        <v>122</v>
      </c>
      <c r="D210" s="0" t="n">
        <v>96521479</v>
      </c>
      <c r="E210" s="0" t="n">
        <v>96521479</v>
      </c>
      <c r="F210" s="0" t="s">
        <v>312</v>
      </c>
      <c r="G210" s="0" t="s">
        <v>39</v>
      </c>
      <c r="H210" s="0" t="s">
        <v>1398</v>
      </c>
      <c r="I210" s="0" t="s">
        <v>1399</v>
      </c>
      <c r="J210" s="0" t="s">
        <v>1400</v>
      </c>
      <c r="K210" s="0" t="s">
        <v>46</v>
      </c>
      <c r="L210" s="0" t="s">
        <v>46</v>
      </c>
      <c r="M210" s="0" t="str">
        <f aca="false">HYPERLINK("https://www.genecards.org/Search/Keyword?queryString=%5Baliases%5D(%20ANKRD36C%20)&amp;keywords=ANKRD36C", "ANKRD36C")</f>
        <v>ANKRD36C</v>
      </c>
      <c r="N210" s="0" t="s">
        <v>498</v>
      </c>
      <c r="O210" s="0" t="s">
        <v>357</v>
      </c>
      <c r="P210" s="0" t="s">
        <v>1401</v>
      </c>
      <c r="Q210" s="0" t="n">
        <v>-1</v>
      </c>
      <c r="R210" s="0" t="n">
        <v>-1</v>
      </c>
      <c r="S210" s="0" t="n">
        <v>-1</v>
      </c>
      <c r="T210" s="0" t="n">
        <v>-1</v>
      </c>
      <c r="U210" s="0" t="n">
        <v>-1</v>
      </c>
      <c r="V210" s="0" t="s">
        <v>46</v>
      </c>
      <c r="W210" s="0" t="s">
        <v>46</v>
      </c>
      <c r="X210" s="0" t="s">
        <v>46</v>
      </c>
      <c r="Y210" s="0" t="s">
        <v>46</v>
      </c>
      <c r="Z210" s="0" t="s">
        <v>46</v>
      </c>
      <c r="AA210" s="0" t="s">
        <v>46</v>
      </c>
      <c r="AB210" s="0" t="s">
        <v>46</v>
      </c>
      <c r="AC210" s="0" t="s">
        <v>52</v>
      </c>
      <c r="AD210" s="0" t="s">
        <v>493</v>
      </c>
      <c r="AE210" s="0" t="s">
        <v>46</v>
      </c>
      <c r="AF210" s="0" t="s">
        <v>494</v>
      </c>
      <c r="AG210" s="0" t="s">
        <v>46</v>
      </c>
      <c r="AH210" s="0" t="s">
        <v>46</v>
      </c>
      <c r="AI210" s="0" t="s">
        <v>46</v>
      </c>
      <c r="AJ210" s="0" t="s">
        <v>46</v>
      </c>
      <c r="AK210" s="0" t="s">
        <v>46</v>
      </c>
      <c r="AL210" s="0" t="s">
        <v>46</v>
      </c>
    </row>
    <row r="211" customFormat="false" ht="15" hidden="false" customHeight="false" outlineLevel="0" collapsed="false">
      <c r="B211" s="0" t="str">
        <f aca="false">HYPERLINK("https://genome.ucsc.edu/cgi-bin/hgTracks?db=hg19&amp;position=chr2%3A96521483%2D96521484", "chr2:96521483")</f>
        <v>chr2:96521483</v>
      </c>
      <c r="C211" s="0" t="s">
        <v>122</v>
      </c>
      <c r="D211" s="0" t="n">
        <v>96521483</v>
      </c>
      <c r="E211" s="0" t="n">
        <v>96521484</v>
      </c>
      <c r="F211" s="0" t="s">
        <v>1402</v>
      </c>
      <c r="G211" s="0" t="s">
        <v>312</v>
      </c>
      <c r="H211" s="0" t="s">
        <v>1403</v>
      </c>
      <c r="I211" s="0" t="s">
        <v>1404</v>
      </c>
      <c r="J211" s="0" t="s">
        <v>1405</v>
      </c>
      <c r="K211" s="0" t="s">
        <v>46</v>
      </c>
      <c r="L211" s="0" t="s">
        <v>46</v>
      </c>
      <c r="M211" s="0" t="str">
        <f aca="false">HYPERLINK("https://www.genecards.org/Search/Keyword?queryString=%5Baliases%5D(%20ANKRD36C%20)&amp;keywords=ANKRD36C", "ANKRD36C")</f>
        <v>ANKRD36C</v>
      </c>
      <c r="N211" s="0" t="s">
        <v>498</v>
      </c>
      <c r="O211" s="0" t="s">
        <v>623</v>
      </c>
      <c r="P211" s="0" t="s">
        <v>1406</v>
      </c>
      <c r="Q211" s="0" t="n">
        <v>-1</v>
      </c>
      <c r="R211" s="0" t="n">
        <v>-1</v>
      </c>
      <c r="S211" s="0" t="n">
        <v>-1</v>
      </c>
      <c r="T211" s="0" t="n">
        <v>-1</v>
      </c>
      <c r="U211" s="0" t="n">
        <v>-1</v>
      </c>
      <c r="V211" s="0" t="s">
        <v>46</v>
      </c>
      <c r="W211" s="0" t="s">
        <v>46</v>
      </c>
      <c r="X211" s="0" t="s">
        <v>46</v>
      </c>
      <c r="Y211" s="0" t="s">
        <v>46</v>
      </c>
      <c r="Z211" s="0" t="s">
        <v>46</v>
      </c>
      <c r="AA211" s="0" t="s">
        <v>46</v>
      </c>
      <c r="AB211" s="0" t="s">
        <v>46</v>
      </c>
      <c r="AC211" s="0" t="s">
        <v>52</v>
      </c>
      <c r="AD211" s="0" t="s">
        <v>493</v>
      </c>
      <c r="AE211" s="0" t="s">
        <v>46</v>
      </c>
      <c r="AF211" s="0" t="s">
        <v>494</v>
      </c>
      <c r="AG211" s="0" t="s">
        <v>46</v>
      </c>
      <c r="AH211" s="0" t="s">
        <v>46</v>
      </c>
      <c r="AI211" s="0" t="s">
        <v>46</v>
      </c>
      <c r="AJ211" s="0" t="s">
        <v>46</v>
      </c>
      <c r="AK211" s="0" t="s">
        <v>46</v>
      </c>
      <c r="AL211" s="0" t="s">
        <v>46</v>
      </c>
    </row>
    <row r="212" customFormat="false" ht="15" hidden="false" customHeight="false" outlineLevel="0" collapsed="false">
      <c r="B212" s="0" t="str">
        <f aca="false">HYPERLINK("https://genome.ucsc.edu/cgi-bin/hgTracks?db=hg19&amp;position=chr2%3A96521487%2D96521487", "chr2:96521487")</f>
        <v>chr2:96521487</v>
      </c>
      <c r="C212" s="0" t="s">
        <v>122</v>
      </c>
      <c r="D212" s="0" t="n">
        <v>96521487</v>
      </c>
      <c r="E212" s="0" t="n">
        <v>96521487</v>
      </c>
      <c r="F212" s="0" t="s">
        <v>312</v>
      </c>
      <c r="G212" s="0" t="s">
        <v>1407</v>
      </c>
      <c r="H212" s="0" t="s">
        <v>1408</v>
      </c>
      <c r="I212" s="0" t="s">
        <v>1409</v>
      </c>
      <c r="J212" s="0" t="s">
        <v>1410</v>
      </c>
      <c r="K212" s="0" t="s">
        <v>46</v>
      </c>
      <c r="L212" s="0" t="s">
        <v>46</v>
      </c>
      <c r="M212" s="0" t="str">
        <f aca="false">HYPERLINK("https://www.genecards.org/Search/Keyword?queryString=%5Baliases%5D(%20ANKRD36C%20)&amp;keywords=ANKRD36C", "ANKRD36C")</f>
        <v>ANKRD36C</v>
      </c>
      <c r="N212" s="0" t="s">
        <v>498</v>
      </c>
      <c r="O212" s="0" t="s">
        <v>357</v>
      </c>
      <c r="P212" s="0" t="s">
        <v>1411</v>
      </c>
      <c r="Q212" s="0" t="n">
        <v>-1</v>
      </c>
      <c r="R212" s="0" t="n">
        <v>-1</v>
      </c>
      <c r="S212" s="0" t="n">
        <v>-1</v>
      </c>
      <c r="T212" s="0" t="n">
        <v>-1</v>
      </c>
      <c r="U212" s="0" t="n">
        <v>-1</v>
      </c>
      <c r="V212" s="0" t="s">
        <v>46</v>
      </c>
      <c r="W212" s="0" t="s">
        <v>46</v>
      </c>
      <c r="X212" s="0" t="s">
        <v>46</v>
      </c>
      <c r="Y212" s="0" t="s">
        <v>46</v>
      </c>
      <c r="Z212" s="0" t="s">
        <v>46</v>
      </c>
      <c r="AA212" s="0" t="s">
        <v>46</v>
      </c>
      <c r="AB212" s="0" t="s">
        <v>46</v>
      </c>
      <c r="AC212" s="0" t="s">
        <v>52</v>
      </c>
      <c r="AD212" s="0" t="s">
        <v>493</v>
      </c>
      <c r="AE212" s="0" t="s">
        <v>46</v>
      </c>
      <c r="AF212" s="0" t="s">
        <v>494</v>
      </c>
      <c r="AG212" s="0" t="s">
        <v>46</v>
      </c>
      <c r="AH212" s="0" t="s">
        <v>46</v>
      </c>
      <c r="AI212" s="0" t="s">
        <v>46</v>
      </c>
      <c r="AJ212" s="0" t="s">
        <v>46</v>
      </c>
      <c r="AK212" s="0" t="s">
        <v>46</v>
      </c>
      <c r="AL212" s="0" t="s">
        <v>46</v>
      </c>
    </row>
    <row r="213" customFormat="false" ht="15" hidden="false" customHeight="false" outlineLevel="0" collapsed="false">
      <c r="B213" s="0" t="str">
        <f aca="false">HYPERLINK("https://genome.ucsc.edu/cgi-bin/hgTracks?db=hg19&amp;position=chr2%3A101640086%2D101640086", "chr2:101640086")</f>
        <v>chr2:101640086</v>
      </c>
      <c r="C213" s="0" t="s">
        <v>122</v>
      </c>
      <c r="D213" s="0" t="n">
        <v>101640086</v>
      </c>
      <c r="E213" s="0" t="n">
        <v>101640086</v>
      </c>
      <c r="F213" s="0" t="s">
        <v>312</v>
      </c>
      <c r="G213" s="0" t="s">
        <v>39</v>
      </c>
      <c r="H213" s="0" t="s">
        <v>1165</v>
      </c>
      <c r="I213" s="0" t="s">
        <v>1055</v>
      </c>
      <c r="J213" s="0" t="s">
        <v>1412</v>
      </c>
      <c r="K213" s="0" t="s">
        <v>46</v>
      </c>
      <c r="L213" s="0" t="str">
        <f aca="false">HYPERLINK("https://www.ncbi.nlm.nih.gov/snp/rs749940223", "rs749940223")</f>
        <v>rs749940223</v>
      </c>
      <c r="M213" s="0" t="str">
        <f aca="false">HYPERLINK("https://www.genecards.org/Search/Keyword?queryString=%5Baliases%5D(%20TBC1D8%20)&amp;keywords=TBC1D8", "TBC1D8")</f>
        <v>TBC1D8</v>
      </c>
      <c r="N213" s="0" t="s">
        <v>1413</v>
      </c>
      <c r="O213" s="0" t="s">
        <v>46</v>
      </c>
      <c r="P213" s="0" t="s">
        <v>1414</v>
      </c>
      <c r="Q213" s="0" t="n">
        <v>0.0061</v>
      </c>
      <c r="R213" s="0" t="n">
        <v>0.003</v>
      </c>
      <c r="S213" s="0" t="n">
        <v>0.0021</v>
      </c>
      <c r="T213" s="0" t="n">
        <v>-1</v>
      </c>
      <c r="U213" s="0" t="n">
        <v>0.0056</v>
      </c>
      <c r="V213" s="0" t="s">
        <v>46</v>
      </c>
      <c r="W213" s="0" t="s">
        <v>46</v>
      </c>
      <c r="X213" s="0" t="s">
        <v>46</v>
      </c>
      <c r="Y213" s="0" t="s">
        <v>46</v>
      </c>
      <c r="Z213" s="0" t="s">
        <v>46</v>
      </c>
      <c r="AA213" s="0" t="s">
        <v>46</v>
      </c>
      <c r="AB213" s="0" t="s">
        <v>46</v>
      </c>
      <c r="AC213" s="0" t="s">
        <v>52</v>
      </c>
      <c r="AD213" s="0" t="s">
        <v>53</v>
      </c>
      <c r="AE213" s="0" t="s">
        <v>1415</v>
      </c>
      <c r="AF213" s="0" t="s">
        <v>1416</v>
      </c>
      <c r="AG213" s="0" t="s">
        <v>817</v>
      </c>
      <c r="AH213" s="0" t="s">
        <v>46</v>
      </c>
      <c r="AI213" s="0" t="s">
        <v>46</v>
      </c>
      <c r="AJ213" s="0" t="s">
        <v>46</v>
      </c>
      <c r="AK213" s="0" t="s">
        <v>46</v>
      </c>
      <c r="AL213" s="0" t="s">
        <v>46</v>
      </c>
    </row>
    <row r="214" customFormat="false" ht="15" hidden="false" customHeight="false" outlineLevel="0" collapsed="false">
      <c r="B214" s="0" t="str">
        <f aca="false">HYPERLINK("https://genome.ucsc.edu/cgi-bin/hgTracks?db=hg19&amp;position=chr2%3A114004578%2D114004579", "chr2:114004578")</f>
        <v>chr2:114004578</v>
      </c>
      <c r="C214" s="0" t="s">
        <v>122</v>
      </c>
      <c r="D214" s="0" t="n">
        <v>114004578</v>
      </c>
      <c r="E214" s="0" t="n">
        <v>114004579</v>
      </c>
      <c r="F214" s="0" t="s">
        <v>877</v>
      </c>
      <c r="G214" s="0" t="s">
        <v>312</v>
      </c>
      <c r="H214" s="0" t="s">
        <v>1417</v>
      </c>
      <c r="I214" s="0" t="s">
        <v>1418</v>
      </c>
      <c r="J214" s="0" t="s">
        <v>1419</v>
      </c>
      <c r="K214" s="0" t="s">
        <v>46</v>
      </c>
      <c r="L214" s="0" t="str">
        <f aca="false">HYPERLINK("https://www.ncbi.nlm.nih.gov/snp/rs150122920", "rs150122920")</f>
        <v>rs150122920</v>
      </c>
      <c r="M214" s="0" t="str">
        <f aca="false">HYPERLINK("https://www.genecards.org/Search/Keyword?queryString=%5Baliases%5D(%20LOC654433%20)%20OR%20%5Baliases%5D(%20PAX8%20)%20OR%20%5Baliases%5D(%20PAX8-AS1%20)&amp;keywords=LOC654433,PAX8,PAX8-AS1", "LOC654433;PAX8;PAX8-AS1")</f>
        <v>LOC654433;PAX8;PAX8-AS1</v>
      </c>
      <c r="N214" s="0" t="s">
        <v>366</v>
      </c>
      <c r="O214" s="0" t="s">
        <v>46</v>
      </c>
      <c r="P214" s="0" t="s">
        <v>46</v>
      </c>
      <c r="Q214" s="0" t="n">
        <v>0.028783</v>
      </c>
      <c r="R214" s="0" t="n">
        <v>-1</v>
      </c>
      <c r="S214" s="0" t="n">
        <v>-1</v>
      </c>
      <c r="T214" s="0" t="n">
        <v>-1</v>
      </c>
      <c r="U214" s="0" t="n">
        <v>-1</v>
      </c>
      <c r="V214" s="0" t="s">
        <v>46</v>
      </c>
      <c r="W214" s="0" t="s">
        <v>46</v>
      </c>
      <c r="X214" s="0" t="s">
        <v>46</v>
      </c>
      <c r="Y214" s="0" t="s">
        <v>46</v>
      </c>
      <c r="Z214" s="0" t="s">
        <v>46</v>
      </c>
      <c r="AA214" s="0" t="s">
        <v>46</v>
      </c>
      <c r="AB214" s="0" t="s">
        <v>46</v>
      </c>
      <c r="AC214" s="0" t="s">
        <v>52</v>
      </c>
      <c r="AD214" s="0" t="s">
        <v>386</v>
      </c>
      <c r="AE214" s="0" t="s">
        <v>1420</v>
      </c>
      <c r="AF214" s="0" t="s">
        <v>1421</v>
      </c>
      <c r="AG214" s="0" t="s">
        <v>1422</v>
      </c>
      <c r="AH214" s="0" t="s">
        <v>1423</v>
      </c>
      <c r="AI214" s="0" t="s">
        <v>46</v>
      </c>
      <c r="AJ214" s="0" t="s">
        <v>46</v>
      </c>
      <c r="AK214" s="0" t="s">
        <v>46</v>
      </c>
      <c r="AL214" s="0" t="s">
        <v>46</v>
      </c>
    </row>
    <row r="215" customFormat="false" ht="15" hidden="false" customHeight="false" outlineLevel="0" collapsed="false">
      <c r="B215" s="0" t="str">
        <f aca="false">HYPERLINK("https://genome.ucsc.edu/cgi-bin/hgTracks?db=hg19&amp;position=chr2%3A132912398%2D132912398", "chr2:132912398")</f>
        <v>chr2:132912398</v>
      </c>
      <c r="C215" s="0" t="s">
        <v>122</v>
      </c>
      <c r="D215" s="0" t="n">
        <v>132912398</v>
      </c>
      <c r="E215" s="0" t="n">
        <v>132912398</v>
      </c>
      <c r="F215" s="0" t="s">
        <v>39</v>
      </c>
      <c r="G215" s="0" t="s">
        <v>40</v>
      </c>
      <c r="H215" s="0" t="s">
        <v>1424</v>
      </c>
      <c r="I215" s="0" t="s">
        <v>424</v>
      </c>
      <c r="J215" s="0" t="s">
        <v>1425</v>
      </c>
      <c r="K215" s="0" t="s">
        <v>46</v>
      </c>
      <c r="L215" s="0" t="str">
        <f aca="false">HYPERLINK("https://www.ncbi.nlm.nih.gov/snp/rs200274266", "rs200274266")</f>
        <v>rs200274266</v>
      </c>
      <c r="M215" s="0" t="str">
        <f aca="false">HYPERLINK("https://www.genecards.org/Search/Keyword?queryString=%5Baliases%5D(%20ANKRD30BL%20)&amp;keywords=ANKRD30BL", "ANKRD30BL")</f>
        <v>ANKRD30BL</v>
      </c>
      <c r="N215" s="0" t="s">
        <v>366</v>
      </c>
      <c r="O215" s="0" t="s">
        <v>46</v>
      </c>
      <c r="P215" s="0" t="s">
        <v>46</v>
      </c>
      <c r="Q215" s="0" t="n">
        <v>0.0251</v>
      </c>
      <c r="R215" s="0" t="n">
        <v>0.0045</v>
      </c>
      <c r="S215" s="0" t="n">
        <v>0.0043</v>
      </c>
      <c r="T215" s="0" t="n">
        <v>-1</v>
      </c>
      <c r="U215" s="0" t="n">
        <v>0.006</v>
      </c>
      <c r="V215" s="0" t="s">
        <v>46</v>
      </c>
      <c r="W215" s="0" t="s">
        <v>46</v>
      </c>
      <c r="X215" s="0" t="s">
        <v>49</v>
      </c>
      <c r="Y215" s="0" t="s">
        <v>64</v>
      </c>
      <c r="Z215" s="0" t="s">
        <v>46</v>
      </c>
      <c r="AA215" s="0" t="s">
        <v>46</v>
      </c>
      <c r="AB215" s="0" t="s">
        <v>46</v>
      </c>
      <c r="AC215" s="0" t="s">
        <v>52</v>
      </c>
      <c r="AD215" s="0" t="s">
        <v>53</v>
      </c>
      <c r="AE215" s="0" t="s">
        <v>46</v>
      </c>
      <c r="AF215" s="0" t="s">
        <v>1426</v>
      </c>
      <c r="AG215" s="0" t="s">
        <v>46</v>
      </c>
      <c r="AH215" s="0" t="s">
        <v>46</v>
      </c>
      <c r="AI215" s="0" t="s">
        <v>46</v>
      </c>
      <c r="AJ215" s="0" t="s">
        <v>46</v>
      </c>
      <c r="AK215" s="0" t="s">
        <v>46</v>
      </c>
      <c r="AL215" s="0" t="s">
        <v>46</v>
      </c>
    </row>
    <row r="216" customFormat="false" ht="15" hidden="false" customHeight="false" outlineLevel="0" collapsed="false">
      <c r="B216" s="0" t="str">
        <f aca="false">HYPERLINK("https://genome.ucsc.edu/cgi-bin/hgTracks?db=hg19&amp;position=chr2%3A157425818%2D157425818", "chr2:157425818")</f>
        <v>chr2:157425818</v>
      </c>
      <c r="C216" s="0" t="s">
        <v>122</v>
      </c>
      <c r="D216" s="0" t="n">
        <v>157425818</v>
      </c>
      <c r="E216" s="0" t="n">
        <v>157425818</v>
      </c>
      <c r="F216" s="0" t="s">
        <v>72</v>
      </c>
      <c r="G216" s="0" t="s">
        <v>58</v>
      </c>
      <c r="H216" s="0" t="s">
        <v>1427</v>
      </c>
      <c r="I216" s="0" t="s">
        <v>637</v>
      </c>
      <c r="J216" s="0" t="s">
        <v>1428</v>
      </c>
      <c r="K216" s="0" t="s">
        <v>46</v>
      </c>
      <c r="L216" s="0" t="str">
        <f aca="false">HYPERLINK("https://www.ncbi.nlm.nih.gov/snp/rs79940580", "rs79940580")</f>
        <v>rs79940580</v>
      </c>
      <c r="M216" s="0" t="str">
        <f aca="false">HYPERLINK("https://www.genecards.org/Search/Keyword?queryString=%5Baliases%5D(%20GPD2%20)&amp;keywords=GPD2", "GPD2")</f>
        <v>GPD2</v>
      </c>
      <c r="N216" s="0" t="s">
        <v>63</v>
      </c>
      <c r="O216" s="0" t="s">
        <v>46</v>
      </c>
      <c r="P216" s="0" t="s">
        <v>46</v>
      </c>
      <c r="Q216" s="0" t="n">
        <v>0.0241</v>
      </c>
      <c r="R216" s="0" t="n">
        <v>0.0088</v>
      </c>
      <c r="S216" s="0" t="n">
        <v>0.009</v>
      </c>
      <c r="T216" s="0" t="n">
        <v>-1</v>
      </c>
      <c r="U216" s="0" t="n">
        <v>0.0081</v>
      </c>
      <c r="V216" s="0" t="s">
        <v>46</v>
      </c>
      <c r="W216" s="0" t="s">
        <v>46</v>
      </c>
      <c r="X216" s="0" t="s">
        <v>49</v>
      </c>
      <c r="Y216" s="0" t="s">
        <v>64</v>
      </c>
      <c r="Z216" s="0" t="s">
        <v>46</v>
      </c>
      <c r="AA216" s="0" t="s">
        <v>46</v>
      </c>
      <c r="AB216" s="0" t="s">
        <v>46</v>
      </c>
      <c r="AC216" s="0" t="s">
        <v>52</v>
      </c>
      <c r="AD216" s="0" t="s">
        <v>53</v>
      </c>
      <c r="AE216" s="0" t="s">
        <v>1429</v>
      </c>
      <c r="AF216" s="0" t="s">
        <v>1430</v>
      </c>
      <c r="AG216" s="0" t="s">
        <v>46</v>
      </c>
      <c r="AH216" s="0" t="s">
        <v>46</v>
      </c>
      <c r="AI216" s="0" t="s">
        <v>46</v>
      </c>
      <c r="AJ216" s="0" t="s">
        <v>46</v>
      </c>
      <c r="AK216" s="0" t="s">
        <v>46</v>
      </c>
      <c r="AL216" s="0" t="s">
        <v>46</v>
      </c>
    </row>
    <row r="217" customFormat="false" ht="15" hidden="false" customHeight="false" outlineLevel="0" collapsed="false">
      <c r="B217" s="0" t="str">
        <f aca="false">HYPERLINK("https://genome.ucsc.edu/cgi-bin/hgTracks?db=hg19&amp;position=chr2%3A166892444%2D166892444", "chr2:166892444")</f>
        <v>chr2:166892444</v>
      </c>
      <c r="C217" s="0" t="s">
        <v>122</v>
      </c>
      <c r="D217" s="0" t="n">
        <v>166892444</v>
      </c>
      <c r="E217" s="0" t="n">
        <v>166892444</v>
      </c>
      <c r="F217" s="0" t="s">
        <v>312</v>
      </c>
      <c r="G217" s="0" t="s">
        <v>72</v>
      </c>
      <c r="H217" s="0" t="s">
        <v>1431</v>
      </c>
      <c r="I217" s="0" t="s">
        <v>1166</v>
      </c>
      <c r="J217" s="0" t="s">
        <v>1432</v>
      </c>
      <c r="K217" s="0" t="s">
        <v>46</v>
      </c>
      <c r="L217" s="0" t="str">
        <f aca="false">HYPERLINK("https://www.ncbi.nlm.nih.gov/snp/rs570425186", "rs570425186")</f>
        <v>rs570425186</v>
      </c>
      <c r="M217" s="0" t="str">
        <f aca="false">HYPERLINK("https://www.genecards.org/Search/Keyword?queryString=%5Baliases%5D(%20LOC102724058%20)%20OR%20%5Baliases%5D(%20SCN1A%20)&amp;keywords=LOC102724058,SCN1A", "LOC102724058;SCN1A")</f>
        <v>LOC102724058;SCN1A</v>
      </c>
      <c r="N217" s="0" t="s">
        <v>366</v>
      </c>
      <c r="O217" s="0" t="s">
        <v>46</v>
      </c>
      <c r="P217" s="0" t="s">
        <v>46</v>
      </c>
      <c r="Q217" s="0" t="n">
        <v>0.0092</v>
      </c>
      <c r="R217" s="0" t="n">
        <v>0.0014</v>
      </c>
      <c r="S217" s="0" t="n">
        <v>0.002</v>
      </c>
      <c r="T217" s="0" t="n">
        <v>-1</v>
      </c>
      <c r="U217" s="0" t="n">
        <v>0.0048</v>
      </c>
      <c r="V217" s="0" t="s">
        <v>46</v>
      </c>
      <c r="W217" s="0" t="s">
        <v>46</v>
      </c>
      <c r="X217" s="0" t="s">
        <v>46</v>
      </c>
      <c r="Y217" s="0" t="s">
        <v>46</v>
      </c>
      <c r="Z217" s="0" t="s">
        <v>46</v>
      </c>
      <c r="AA217" s="0" t="s">
        <v>46</v>
      </c>
      <c r="AB217" s="0" t="s">
        <v>46</v>
      </c>
      <c r="AC217" s="0" t="s">
        <v>52</v>
      </c>
      <c r="AD217" s="0" t="s">
        <v>1433</v>
      </c>
      <c r="AE217" s="0" t="s">
        <v>1434</v>
      </c>
      <c r="AF217" s="0" t="s">
        <v>1435</v>
      </c>
      <c r="AG217" s="0" t="s">
        <v>1436</v>
      </c>
      <c r="AH217" s="0" t="s">
        <v>1437</v>
      </c>
      <c r="AI217" s="0" t="s">
        <v>46</v>
      </c>
      <c r="AJ217" s="0" t="s">
        <v>46</v>
      </c>
      <c r="AK217" s="0" t="s">
        <v>46</v>
      </c>
      <c r="AL217" s="0" t="s">
        <v>46</v>
      </c>
    </row>
    <row r="218" customFormat="false" ht="15" hidden="false" customHeight="false" outlineLevel="0" collapsed="false">
      <c r="B218" s="0" t="str">
        <f aca="false">HYPERLINK("https://genome.ucsc.edu/cgi-bin/hgTracks?db=hg19&amp;position=chr2%3A166894793%2D166894793", "chr2:166894793")</f>
        <v>chr2:166894793</v>
      </c>
      <c r="C218" s="0" t="s">
        <v>122</v>
      </c>
      <c r="D218" s="0" t="n">
        <v>166894793</v>
      </c>
      <c r="E218" s="0" t="n">
        <v>166894793</v>
      </c>
      <c r="F218" s="0" t="s">
        <v>40</v>
      </c>
      <c r="G218" s="0" t="s">
        <v>39</v>
      </c>
      <c r="H218" s="0" t="s">
        <v>1438</v>
      </c>
      <c r="I218" s="0" t="s">
        <v>493</v>
      </c>
      <c r="J218" s="0" t="s">
        <v>1439</v>
      </c>
      <c r="K218" s="0" t="s">
        <v>46</v>
      </c>
      <c r="L218" s="0" t="str">
        <f aca="false">HYPERLINK("https://www.ncbi.nlm.nih.gov/snp/rs148500164", "rs148500164")</f>
        <v>rs148500164</v>
      </c>
      <c r="M218" s="0" t="str">
        <f aca="false">HYPERLINK("https://www.genecards.org/Search/Keyword?queryString=%5Baliases%5D(%20SCN1A%20)&amp;keywords=SCN1A", "SCN1A")</f>
        <v>SCN1A</v>
      </c>
      <c r="N218" s="0" t="s">
        <v>366</v>
      </c>
      <c r="O218" s="0" t="s">
        <v>46</v>
      </c>
      <c r="P218" s="0" t="s">
        <v>46</v>
      </c>
      <c r="Q218" s="0" t="n">
        <v>0.002</v>
      </c>
      <c r="R218" s="0" t="n">
        <v>0.0012</v>
      </c>
      <c r="S218" s="0" t="n">
        <v>0.0018</v>
      </c>
      <c r="T218" s="0" t="n">
        <v>-1</v>
      </c>
      <c r="U218" s="0" t="n">
        <v>0.0041</v>
      </c>
      <c r="V218" s="0" t="s">
        <v>46</v>
      </c>
      <c r="W218" s="0" t="s">
        <v>46</v>
      </c>
      <c r="X218" s="0" t="s">
        <v>340</v>
      </c>
      <c r="Y218" s="0" t="s">
        <v>64</v>
      </c>
      <c r="Z218" s="0" t="s">
        <v>46</v>
      </c>
      <c r="AA218" s="0" t="s">
        <v>46</v>
      </c>
      <c r="AB218" s="0" t="s">
        <v>46</v>
      </c>
      <c r="AC218" s="0" t="s">
        <v>52</v>
      </c>
      <c r="AD218" s="0" t="s">
        <v>94</v>
      </c>
      <c r="AE218" s="0" t="s">
        <v>1434</v>
      </c>
      <c r="AF218" s="0" t="s">
        <v>1435</v>
      </c>
      <c r="AG218" s="0" t="s">
        <v>1436</v>
      </c>
      <c r="AH218" s="0" t="s">
        <v>1437</v>
      </c>
      <c r="AI218" s="0" t="s">
        <v>46</v>
      </c>
      <c r="AJ218" s="0" t="s">
        <v>46</v>
      </c>
      <c r="AK218" s="0" t="s">
        <v>46</v>
      </c>
      <c r="AL218" s="0" t="s">
        <v>46</v>
      </c>
    </row>
    <row r="219" customFormat="false" ht="15" hidden="false" customHeight="false" outlineLevel="0" collapsed="false">
      <c r="B219" s="0" t="str">
        <f aca="false">HYPERLINK("https://genome.ucsc.edu/cgi-bin/hgTracks?db=hg19&amp;position=chr2%3A170865238%2D170865238", "chr2:170865238")</f>
        <v>chr2:170865238</v>
      </c>
      <c r="C219" s="0" t="s">
        <v>122</v>
      </c>
      <c r="D219" s="0" t="n">
        <v>170865238</v>
      </c>
      <c r="E219" s="0" t="n">
        <v>170865238</v>
      </c>
      <c r="F219" s="0" t="s">
        <v>72</v>
      </c>
      <c r="G219" s="0" t="s">
        <v>58</v>
      </c>
      <c r="H219" s="0" t="s">
        <v>1440</v>
      </c>
      <c r="I219" s="0" t="s">
        <v>648</v>
      </c>
      <c r="J219" s="0" t="s">
        <v>649</v>
      </c>
      <c r="K219" s="0" t="s">
        <v>46</v>
      </c>
      <c r="L219" s="0" t="str">
        <f aca="false">HYPERLINK("https://www.ncbi.nlm.nih.gov/snp/rs145822407", "rs145822407")</f>
        <v>rs145822407</v>
      </c>
      <c r="M219" s="0" t="str">
        <f aca="false">HYPERLINK("https://www.genecards.org/Search/Keyword?queryString=%5Baliases%5D(%20UBR3%20)&amp;keywords=UBR3", "UBR3")</f>
        <v>UBR3</v>
      </c>
      <c r="N219" s="0" t="s">
        <v>63</v>
      </c>
      <c r="O219" s="0" t="s">
        <v>46</v>
      </c>
      <c r="P219" s="0" t="s">
        <v>46</v>
      </c>
      <c r="Q219" s="0" t="n">
        <v>0.0113</v>
      </c>
      <c r="R219" s="0" t="n">
        <v>0.005</v>
      </c>
      <c r="S219" s="0" t="n">
        <v>0.0059</v>
      </c>
      <c r="T219" s="0" t="n">
        <v>-1</v>
      </c>
      <c r="U219" s="0" t="n">
        <v>0.0059</v>
      </c>
      <c r="V219" s="0" t="s">
        <v>46</v>
      </c>
      <c r="W219" s="0" t="s">
        <v>46</v>
      </c>
      <c r="X219" s="0" t="s">
        <v>49</v>
      </c>
      <c r="Y219" s="0" t="s">
        <v>64</v>
      </c>
      <c r="Z219" s="0" t="s">
        <v>46</v>
      </c>
      <c r="AA219" s="0" t="s">
        <v>46</v>
      </c>
      <c r="AB219" s="0" t="s">
        <v>46</v>
      </c>
      <c r="AC219" s="0" t="s">
        <v>52</v>
      </c>
      <c r="AD219" s="0" t="s">
        <v>53</v>
      </c>
      <c r="AE219" s="0" t="s">
        <v>1441</v>
      </c>
      <c r="AF219" s="0" t="s">
        <v>1442</v>
      </c>
      <c r="AG219" s="0" t="s">
        <v>1443</v>
      </c>
      <c r="AH219" s="0" t="s">
        <v>46</v>
      </c>
      <c r="AI219" s="0" t="s">
        <v>46</v>
      </c>
      <c r="AJ219" s="0" t="s">
        <v>46</v>
      </c>
      <c r="AK219" s="0" t="s">
        <v>46</v>
      </c>
      <c r="AL219" s="0" t="s">
        <v>46</v>
      </c>
    </row>
    <row r="220" customFormat="false" ht="15" hidden="false" customHeight="false" outlineLevel="0" collapsed="false">
      <c r="B220" s="0" t="str">
        <f aca="false">HYPERLINK("https://genome.ucsc.edu/cgi-bin/hgTracks?db=hg19&amp;position=chr2%3A175614910%2D175614911", "chr2:175614910")</f>
        <v>chr2:175614910</v>
      </c>
      <c r="C220" s="0" t="s">
        <v>122</v>
      </c>
      <c r="D220" s="0" t="n">
        <v>175614910</v>
      </c>
      <c r="E220" s="0" t="n">
        <v>175614911</v>
      </c>
      <c r="F220" s="0" t="s">
        <v>313</v>
      </c>
      <c r="G220" s="0" t="s">
        <v>312</v>
      </c>
      <c r="H220" s="0" t="s">
        <v>1444</v>
      </c>
      <c r="I220" s="0" t="s">
        <v>732</v>
      </c>
      <c r="J220" s="0" t="s">
        <v>1445</v>
      </c>
      <c r="K220" s="0" t="s">
        <v>46</v>
      </c>
      <c r="L220" s="0" t="s">
        <v>46</v>
      </c>
      <c r="M220" s="0" t="str">
        <f aca="false">HYPERLINK("https://www.genecards.org/Search/Keyword?queryString=%5Baliases%5D(%20BC046497%20)%20OR%20%5Baliases%5D(%20CHRNA1%20)&amp;keywords=BC046497,CHRNA1", "BC046497;CHRNA1")</f>
        <v>BC046497;CHRNA1</v>
      </c>
      <c r="N220" s="0" t="s">
        <v>366</v>
      </c>
      <c r="O220" s="0" t="s">
        <v>46</v>
      </c>
      <c r="P220" s="0" t="s">
        <v>46</v>
      </c>
      <c r="Q220" s="0" t="n">
        <v>-1</v>
      </c>
      <c r="R220" s="0" t="n">
        <v>-1</v>
      </c>
      <c r="S220" s="0" t="n">
        <v>-1</v>
      </c>
      <c r="T220" s="0" t="n">
        <v>-1</v>
      </c>
      <c r="U220" s="0" t="n">
        <v>-1</v>
      </c>
      <c r="V220" s="0" t="s">
        <v>46</v>
      </c>
      <c r="W220" s="0" t="s">
        <v>46</v>
      </c>
      <c r="X220" s="0" t="s">
        <v>46</v>
      </c>
      <c r="Y220" s="0" t="s">
        <v>46</v>
      </c>
      <c r="Z220" s="0" t="s">
        <v>46</v>
      </c>
      <c r="AA220" s="0" t="s">
        <v>46</v>
      </c>
      <c r="AB220" s="0" t="s">
        <v>46</v>
      </c>
      <c r="AC220" s="0" t="s">
        <v>319</v>
      </c>
      <c r="AD220" s="0" t="s">
        <v>631</v>
      </c>
      <c r="AE220" s="0" t="s">
        <v>1446</v>
      </c>
      <c r="AF220" s="0" t="s">
        <v>1447</v>
      </c>
      <c r="AG220" s="0" t="s">
        <v>1448</v>
      </c>
      <c r="AH220" s="0" t="s">
        <v>1449</v>
      </c>
      <c r="AI220" s="0" t="s">
        <v>46</v>
      </c>
      <c r="AJ220" s="0" t="s">
        <v>46</v>
      </c>
      <c r="AK220" s="0" t="s">
        <v>46</v>
      </c>
      <c r="AL220" s="0" t="s">
        <v>46</v>
      </c>
    </row>
    <row r="221" customFormat="false" ht="15" hidden="false" customHeight="false" outlineLevel="0" collapsed="false">
      <c r="B221" s="0" t="str">
        <f aca="false">HYPERLINK("https://genome.ucsc.edu/cgi-bin/hgTracks?db=hg19&amp;position=chr2%3A175629046%2D175629046", "chr2:175629046")</f>
        <v>chr2:175629046</v>
      </c>
      <c r="C221" s="0" t="s">
        <v>122</v>
      </c>
      <c r="D221" s="0" t="n">
        <v>175629046</v>
      </c>
      <c r="E221" s="0" t="n">
        <v>175629046</v>
      </c>
      <c r="F221" s="0" t="s">
        <v>58</v>
      </c>
      <c r="G221" s="0" t="s">
        <v>72</v>
      </c>
      <c r="H221" s="0" t="s">
        <v>1450</v>
      </c>
      <c r="I221" s="0" t="s">
        <v>1104</v>
      </c>
      <c r="J221" s="0" t="s">
        <v>1451</v>
      </c>
      <c r="K221" s="0" t="s">
        <v>46</v>
      </c>
      <c r="L221" s="0" t="str">
        <f aca="false">HYPERLINK("https://www.ncbi.nlm.nih.gov/snp/rs371152840", "rs371152840")</f>
        <v>rs371152840</v>
      </c>
      <c r="M221" s="0" t="str">
        <f aca="false">HYPERLINK("https://www.genecards.org/Search/Keyword?queryString=%5Baliases%5D(%20BC046497%20)%20OR%20%5Baliases%5D(%20CHRNA1%20)&amp;keywords=BC046497,CHRNA1", "BC046497;CHRNA1")</f>
        <v>BC046497;CHRNA1</v>
      </c>
      <c r="N221" s="0" t="s">
        <v>366</v>
      </c>
      <c r="O221" s="0" t="s">
        <v>46</v>
      </c>
      <c r="P221" s="0" t="s">
        <v>46</v>
      </c>
      <c r="Q221" s="0" t="n">
        <v>0.0005</v>
      </c>
      <c r="R221" s="0" t="n">
        <v>0.0005</v>
      </c>
      <c r="S221" s="0" t="n">
        <v>0.0004</v>
      </c>
      <c r="T221" s="0" t="n">
        <v>-1</v>
      </c>
      <c r="U221" s="0" t="n">
        <v>0.0009</v>
      </c>
      <c r="V221" s="0" t="s">
        <v>46</v>
      </c>
      <c r="W221" s="0" t="s">
        <v>46</v>
      </c>
      <c r="X221" s="0" t="s">
        <v>46</v>
      </c>
      <c r="Y221" s="0" t="s">
        <v>46</v>
      </c>
      <c r="Z221" s="0" t="s">
        <v>46</v>
      </c>
      <c r="AA221" s="0" t="s">
        <v>46</v>
      </c>
      <c r="AB221" s="0" t="s">
        <v>46</v>
      </c>
      <c r="AC221" s="0" t="s">
        <v>52</v>
      </c>
      <c r="AD221" s="0" t="s">
        <v>631</v>
      </c>
      <c r="AE221" s="0" t="s">
        <v>1446</v>
      </c>
      <c r="AF221" s="0" t="s">
        <v>1447</v>
      </c>
      <c r="AG221" s="0" t="s">
        <v>1448</v>
      </c>
      <c r="AH221" s="0" t="s">
        <v>1449</v>
      </c>
      <c r="AI221" s="0" t="s">
        <v>46</v>
      </c>
      <c r="AJ221" s="0" t="s">
        <v>46</v>
      </c>
      <c r="AK221" s="0" t="s">
        <v>46</v>
      </c>
      <c r="AL221" s="0" t="s">
        <v>46</v>
      </c>
    </row>
    <row r="222" s="2" customFormat="true" ht="15" hidden="false" customHeight="false" outlineLevel="0" collapsed="false">
      <c r="B222" s="2" t="str">
        <f aca="false">HYPERLINK("https://genome.ucsc.edu/cgi-bin/hgTracks?db=hg19&amp;position=chr2%3A179553731%2D179553732", "chr2:179553731")</f>
        <v>chr2:179553731</v>
      </c>
      <c r="C222" s="2" t="s">
        <v>122</v>
      </c>
      <c r="D222" s="2" t="n">
        <v>179553731</v>
      </c>
      <c r="E222" s="2" t="n">
        <v>179553732</v>
      </c>
      <c r="F222" s="2" t="s">
        <v>1452</v>
      </c>
      <c r="G222" s="2" t="s">
        <v>312</v>
      </c>
      <c r="H222" s="2" t="s">
        <v>1453</v>
      </c>
      <c r="I222" s="2" t="s">
        <v>1293</v>
      </c>
      <c r="J222" s="2" t="s">
        <v>1454</v>
      </c>
      <c r="K222" s="2" t="s">
        <v>46</v>
      </c>
      <c r="L222" s="2" t="str">
        <f aca="false">HYPERLINK("https://www.ncbi.nlm.nih.gov/snp/rs749800402", "rs749800402")</f>
        <v>rs749800402</v>
      </c>
      <c r="M222" s="2" t="str">
        <f aca="false">HYPERLINK("https://www.genecards.org/Search/Keyword?queryString=%5Baliases%5D(%20TTN%20)&amp;keywords=TTN", "TTN")</f>
        <v>TTN</v>
      </c>
      <c r="N222" s="2" t="s">
        <v>366</v>
      </c>
      <c r="O222" s="2" t="s">
        <v>46</v>
      </c>
      <c r="P222" s="2" t="s">
        <v>46</v>
      </c>
      <c r="Q222" s="2" t="n">
        <v>0.0001294</v>
      </c>
      <c r="R222" s="2" t="n">
        <v>-1</v>
      </c>
      <c r="S222" s="2" t="n">
        <v>-1</v>
      </c>
      <c r="T222" s="2" t="n">
        <v>-1</v>
      </c>
      <c r="U222" s="2" t="n">
        <v>-1</v>
      </c>
      <c r="V222" s="2" t="s">
        <v>46</v>
      </c>
      <c r="W222" s="2" t="s">
        <v>46</v>
      </c>
      <c r="X222" s="2" t="s">
        <v>46</v>
      </c>
      <c r="Y222" s="2" t="s">
        <v>46</v>
      </c>
      <c r="Z222" s="2" t="s">
        <v>46</v>
      </c>
      <c r="AA222" s="2" t="s">
        <v>46</v>
      </c>
      <c r="AB222" s="2" t="s">
        <v>46</v>
      </c>
      <c r="AC222" s="2" t="s">
        <v>52</v>
      </c>
      <c r="AD222" s="2" t="s">
        <v>412</v>
      </c>
      <c r="AE222" s="2" t="s">
        <v>413</v>
      </c>
      <c r="AF222" s="2" t="s">
        <v>414</v>
      </c>
      <c r="AG222" s="2" t="s">
        <v>415</v>
      </c>
      <c r="AH222" s="2" t="s">
        <v>416</v>
      </c>
      <c r="AI222" s="2" t="s">
        <v>46</v>
      </c>
      <c r="AJ222" s="2" t="s">
        <v>46</v>
      </c>
      <c r="AK222" s="2" t="s">
        <v>46</v>
      </c>
      <c r="AL222" s="2" t="s">
        <v>46</v>
      </c>
    </row>
    <row r="223" s="2" customFormat="true" ht="15" hidden="false" customHeight="false" outlineLevel="0" collapsed="false">
      <c r="B223" s="2" t="str">
        <f aca="false">HYPERLINK("https://genome.ucsc.edu/cgi-bin/hgTracks?db=hg19&amp;position=chr2%3A179616772%2D179616772", "chr2:179616772")</f>
        <v>chr2:179616772</v>
      </c>
      <c r="C223" s="2" t="s">
        <v>122</v>
      </c>
      <c r="D223" s="2" t="n">
        <v>179616772</v>
      </c>
      <c r="E223" s="2" t="n">
        <v>179616772</v>
      </c>
      <c r="F223" s="2" t="s">
        <v>72</v>
      </c>
      <c r="G223" s="2" t="s">
        <v>312</v>
      </c>
      <c r="H223" s="2" t="s">
        <v>1455</v>
      </c>
      <c r="I223" s="2" t="s">
        <v>1048</v>
      </c>
      <c r="J223" s="2" t="s">
        <v>1456</v>
      </c>
      <c r="K223" s="2" t="s">
        <v>46</v>
      </c>
      <c r="L223" s="2" t="s">
        <v>46</v>
      </c>
      <c r="M223" s="2" t="str">
        <f aca="false">HYPERLINK("https://www.genecards.org/Search/Keyword?queryString=%5Baliases%5D(%20TTN%20)&amp;keywords=TTN", "TTN")</f>
        <v>TTN</v>
      </c>
      <c r="N223" s="2" t="s">
        <v>366</v>
      </c>
      <c r="O223" s="2" t="s">
        <v>46</v>
      </c>
      <c r="P223" s="2" t="s">
        <v>46</v>
      </c>
      <c r="Q223" s="2" t="n">
        <v>-1</v>
      </c>
      <c r="R223" s="2" t="n">
        <v>-1</v>
      </c>
      <c r="S223" s="2" t="n">
        <v>-1</v>
      </c>
      <c r="T223" s="2" t="n">
        <v>-1</v>
      </c>
      <c r="U223" s="2" t="n">
        <v>-1</v>
      </c>
      <c r="V223" s="2" t="s">
        <v>46</v>
      </c>
      <c r="W223" s="2" t="s">
        <v>46</v>
      </c>
      <c r="X223" s="2" t="s">
        <v>46</v>
      </c>
      <c r="Y223" s="2" t="s">
        <v>46</v>
      </c>
      <c r="Z223" s="2" t="s">
        <v>46</v>
      </c>
      <c r="AA223" s="2" t="s">
        <v>46</v>
      </c>
      <c r="AB223" s="2" t="s">
        <v>46</v>
      </c>
      <c r="AC223" s="2" t="s">
        <v>319</v>
      </c>
      <c r="AD223" s="2" t="s">
        <v>412</v>
      </c>
      <c r="AE223" s="2" t="s">
        <v>413</v>
      </c>
      <c r="AF223" s="2" t="s">
        <v>414</v>
      </c>
      <c r="AG223" s="2" t="s">
        <v>415</v>
      </c>
      <c r="AH223" s="2" t="s">
        <v>416</v>
      </c>
      <c r="AI223" s="2" t="s">
        <v>46</v>
      </c>
      <c r="AJ223" s="2" t="s">
        <v>46</v>
      </c>
      <c r="AK223" s="2" t="s">
        <v>46</v>
      </c>
      <c r="AL223" s="2" t="s">
        <v>46</v>
      </c>
    </row>
    <row r="224" s="2" customFormat="true" ht="15" hidden="false" customHeight="false" outlineLevel="0" collapsed="false">
      <c r="B224" s="2" t="str">
        <f aca="false">HYPERLINK("https://genome.ucsc.edu/cgi-bin/hgTracks?db=hg19&amp;position=chr2%3A179634379%2D179634380", "chr2:179634379")</f>
        <v>chr2:179634379</v>
      </c>
      <c r="C224" s="2" t="s">
        <v>122</v>
      </c>
      <c r="D224" s="2" t="n">
        <v>179634379</v>
      </c>
      <c r="E224" s="2" t="n">
        <v>179634380</v>
      </c>
      <c r="F224" s="2" t="s">
        <v>1457</v>
      </c>
      <c r="G224" s="2" t="s">
        <v>312</v>
      </c>
      <c r="H224" s="2" t="s">
        <v>1458</v>
      </c>
      <c r="I224" s="2" t="s">
        <v>1459</v>
      </c>
      <c r="J224" s="2" t="s">
        <v>1460</v>
      </c>
      <c r="K224" s="2" t="s">
        <v>46</v>
      </c>
      <c r="L224" s="2" t="s">
        <v>46</v>
      </c>
      <c r="M224" s="2" t="str">
        <f aca="false">HYPERLINK("https://www.genecards.org/Search/Keyword?queryString=%5Baliases%5D(%20TTN%20)&amp;keywords=TTN", "TTN")</f>
        <v>TTN</v>
      </c>
      <c r="N224" s="2" t="s">
        <v>366</v>
      </c>
      <c r="O224" s="2" t="s">
        <v>46</v>
      </c>
      <c r="P224" s="2" t="s">
        <v>46</v>
      </c>
      <c r="Q224" s="2" t="n">
        <v>-1</v>
      </c>
      <c r="R224" s="2" t="n">
        <v>-1</v>
      </c>
      <c r="S224" s="2" t="n">
        <v>-1</v>
      </c>
      <c r="T224" s="2" t="n">
        <v>-1</v>
      </c>
      <c r="U224" s="2" t="n">
        <v>-1</v>
      </c>
      <c r="V224" s="2" t="s">
        <v>46</v>
      </c>
      <c r="W224" s="2" t="s">
        <v>46</v>
      </c>
      <c r="X224" s="2" t="s">
        <v>46</v>
      </c>
      <c r="Y224" s="2" t="s">
        <v>46</v>
      </c>
      <c r="Z224" s="2" t="s">
        <v>46</v>
      </c>
      <c r="AA224" s="2" t="s">
        <v>46</v>
      </c>
      <c r="AB224" s="2" t="s">
        <v>46</v>
      </c>
      <c r="AC224" s="2" t="s">
        <v>319</v>
      </c>
      <c r="AD224" s="2" t="s">
        <v>412</v>
      </c>
      <c r="AE224" s="2" t="s">
        <v>413</v>
      </c>
      <c r="AF224" s="2" t="s">
        <v>414</v>
      </c>
      <c r="AG224" s="2" t="s">
        <v>415</v>
      </c>
      <c r="AH224" s="2" t="s">
        <v>416</v>
      </c>
      <c r="AI224" s="2" t="s">
        <v>46</v>
      </c>
      <c r="AJ224" s="2" t="s">
        <v>46</v>
      </c>
      <c r="AK224" s="2" t="s">
        <v>46</v>
      </c>
      <c r="AL224" s="2" t="s">
        <v>46</v>
      </c>
    </row>
    <row r="225" customFormat="false" ht="15" hidden="false" customHeight="false" outlineLevel="0" collapsed="false">
      <c r="B225" s="0" t="str">
        <f aca="false">HYPERLINK("https://genome.ucsc.edu/cgi-bin/hgTracks?db=hg19&amp;position=chr2%3A189452429%2D189452429", "chr2:189452429")</f>
        <v>chr2:189452429</v>
      </c>
      <c r="C225" s="0" t="s">
        <v>122</v>
      </c>
      <c r="D225" s="0" t="n">
        <v>189452429</v>
      </c>
      <c r="E225" s="0" t="n">
        <v>189452429</v>
      </c>
      <c r="F225" s="0" t="s">
        <v>39</v>
      </c>
      <c r="G225" s="0" t="s">
        <v>58</v>
      </c>
      <c r="H225" s="0" t="s">
        <v>968</v>
      </c>
      <c r="I225" s="0" t="s">
        <v>1166</v>
      </c>
      <c r="J225" s="0" t="s">
        <v>1432</v>
      </c>
      <c r="K225" s="0" t="s">
        <v>46</v>
      </c>
      <c r="L225" s="0" t="str">
        <f aca="false">HYPERLINK("https://www.ncbi.nlm.nih.gov/snp/rs187016467", "rs187016467")</f>
        <v>rs187016467</v>
      </c>
      <c r="M225" s="0" t="str">
        <f aca="false">HYPERLINK("https://www.genecards.org/Search/Keyword?queryString=%5Baliases%5D(%20GULP1%20)&amp;keywords=GULP1", "GULP1")</f>
        <v>GULP1</v>
      </c>
      <c r="N225" s="0" t="s">
        <v>63</v>
      </c>
      <c r="O225" s="0" t="s">
        <v>46</v>
      </c>
      <c r="P225" s="0" t="s">
        <v>46</v>
      </c>
      <c r="Q225" s="0" t="n">
        <v>0.0107</v>
      </c>
      <c r="R225" s="0" t="n">
        <v>0.0117</v>
      </c>
      <c r="S225" s="0" t="n">
        <v>0.0107</v>
      </c>
      <c r="T225" s="0" t="n">
        <v>-1</v>
      </c>
      <c r="U225" s="0" t="n">
        <v>0.0159</v>
      </c>
      <c r="V225" s="0" t="s">
        <v>46</v>
      </c>
      <c r="W225" s="0" t="s">
        <v>46</v>
      </c>
      <c r="X225" s="0" t="s">
        <v>385</v>
      </c>
      <c r="Y225" s="0" t="s">
        <v>64</v>
      </c>
      <c r="Z225" s="0" t="s">
        <v>46</v>
      </c>
      <c r="AA225" s="0" t="s">
        <v>46</v>
      </c>
      <c r="AB225" s="0" t="s">
        <v>46</v>
      </c>
      <c r="AC225" s="0" t="s">
        <v>52</v>
      </c>
      <c r="AD225" s="0" t="s">
        <v>53</v>
      </c>
      <c r="AE225" s="0" t="s">
        <v>1461</v>
      </c>
      <c r="AF225" s="0" t="s">
        <v>1462</v>
      </c>
      <c r="AG225" s="0" t="s">
        <v>1463</v>
      </c>
      <c r="AH225" s="0" t="s">
        <v>46</v>
      </c>
      <c r="AI225" s="0" t="s">
        <v>46</v>
      </c>
      <c r="AJ225" s="0" t="s">
        <v>46</v>
      </c>
      <c r="AK225" s="0" t="s">
        <v>46</v>
      </c>
      <c r="AL225" s="0" t="s">
        <v>46</v>
      </c>
    </row>
    <row r="226" customFormat="false" ht="15" hidden="false" customHeight="false" outlineLevel="0" collapsed="false">
      <c r="B226" s="0" t="str">
        <f aca="false">HYPERLINK("https://genome.ucsc.edu/cgi-bin/hgTracks?db=hg19&amp;position=chr2%3A215890324%2D215890324", "chr2:215890324")</f>
        <v>chr2:215890324</v>
      </c>
      <c r="C226" s="0" t="s">
        <v>122</v>
      </c>
      <c r="D226" s="0" t="n">
        <v>215890324</v>
      </c>
      <c r="E226" s="0" t="n">
        <v>215890324</v>
      </c>
      <c r="F226" s="0" t="s">
        <v>312</v>
      </c>
      <c r="G226" s="0" t="s">
        <v>1452</v>
      </c>
      <c r="H226" s="0" t="s">
        <v>1464</v>
      </c>
      <c r="I226" s="0" t="s">
        <v>374</v>
      </c>
      <c r="J226" s="0" t="s">
        <v>1465</v>
      </c>
      <c r="K226" s="0" t="s">
        <v>46</v>
      </c>
      <c r="L226" s="0" t="s">
        <v>46</v>
      </c>
      <c r="M226" s="0" t="str">
        <f aca="false">HYPERLINK("https://www.genecards.org/Search/Keyword?queryString=%5Baliases%5D(%20ABCA12%20)&amp;keywords=ABCA12", "ABCA12")</f>
        <v>ABCA12</v>
      </c>
      <c r="N226" s="0" t="s">
        <v>366</v>
      </c>
      <c r="O226" s="0" t="s">
        <v>46</v>
      </c>
      <c r="P226" s="0" t="s">
        <v>46</v>
      </c>
      <c r="Q226" s="0" t="n">
        <v>0.0234</v>
      </c>
      <c r="R226" s="0" t="n">
        <v>0.0055</v>
      </c>
      <c r="S226" s="0" t="n">
        <v>0.0026</v>
      </c>
      <c r="T226" s="0" t="n">
        <v>-1</v>
      </c>
      <c r="U226" s="0" t="n">
        <v>0.0083</v>
      </c>
      <c r="V226" s="0" t="s">
        <v>46</v>
      </c>
      <c r="W226" s="0" t="s">
        <v>46</v>
      </c>
      <c r="X226" s="0" t="s">
        <v>46</v>
      </c>
      <c r="Y226" s="0" t="s">
        <v>46</v>
      </c>
      <c r="Z226" s="0" t="s">
        <v>46</v>
      </c>
      <c r="AA226" s="0" t="s">
        <v>46</v>
      </c>
      <c r="AB226" s="0" t="s">
        <v>46</v>
      </c>
      <c r="AC226" s="0" t="s">
        <v>319</v>
      </c>
      <c r="AD226" s="0" t="s">
        <v>53</v>
      </c>
      <c r="AE226" s="0" t="s">
        <v>1466</v>
      </c>
      <c r="AF226" s="0" t="s">
        <v>1467</v>
      </c>
      <c r="AG226" s="0" t="s">
        <v>1468</v>
      </c>
      <c r="AH226" s="0" t="s">
        <v>1469</v>
      </c>
      <c r="AI226" s="0" t="s">
        <v>929</v>
      </c>
      <c r="AJ226" s="0" t="s">
        <v>46</v>
      </c>
      <c r="AK226" s="0" t="s">
        <v>46</v>
      </c>
      <c r="AL226" s="0" t="s">
        <v>46</v>
      </c>
    </row>
    <row r="227" customFormat="false" ht="15" hidden="false" customHeight="false" outlineLevel="0" collapsed="false">
      <c r="B227" s="0" t="str">
        <f aca="false">HYPERLINK("https://genome.ucsc.edu/cgi-bin/hgTracks?db=hg19&amp;position=chr2%3A223559987%2D223559987", "chr2:223559987")</f>
        <v>chr2:223559987</v>
      </c>
      <c r="C227" s="0" t="s">
        <v>122</v>
      </c>
      <c r="D227" s="0" t="n">
        <v>223559987</v>
      </c>
      <c r="E227" s="0" t="n">
        <v>223559987</v>
      </c>
      <c r="F227" s="0" t="s">
        <v>58</v>
      </c>
      <c r="G227" s="0" t="s">
        <v>312</v>
      </c>
      <c r="H227" s="0" t="s">
        <v>1470</v>
      </c>
      <c r="I227" s="0" t="s">
        <v>1471</v>
      </c>
      <c r="J227" s="0" t="s">
        <v>1472</v>
      </c>
      <c r="K227" s="0" t="s">
        <v>46</v>
      </c>
      <c r="L227" s="0" t="str">
        <f aca="false">HYPERLINK("https://www.ncbi.nlm.nih.gov/snp/rs199514206", "rs199514206")</f>
        <v>rs199514206</v>
      </c>
      <c r="M227" s="0" t="str">
        <f aca="false">HYPERLINK("https://www.genecards.org/Search/Keyword?queryString=%5Baliases%5D(%20MOGAT1%20)&amp;keywords=MOGAT1", "MOGAT1")</f>
        <v>MOGAT1</v>
      </c>
      <c r="N227" s="0" t="s">
        <v>77</v>
      </c>
      <c r="O227" s="0" t="s">
        <v>623</v>
      </c>
      <c r="P227" s="0" t="s">
        <v>1473</v>
      </c>
      <c r="Q227" s="0" t="n">
        <v>0.0181</v>
      </c>
      <c r="R227" s="0" t="n">
        <v>0.0176</v>
      </c>
      <c r="S227" s="0" t="n">
        <v>0.0186</v>
      </c>
      <c r="T227" s="0" t="n">
        <v>-1</v>
      </c>
      <c r="U227" s="0" t="n">
        <v>0.0192</v>
      </c>
      <c r="V227" s="0" t="s">
        <v>46</v>
      </c>
      <c r="W227" s="0" t="s">
        <v>46</v>
      </c>
      <c r="X227" s="0" t="s">
        <v>46</v>
      </c>
      <c r="Y227" s="0" t="s">
        <v>46</v>
      </c>
      <c r="Z227" s="0" t="s">
        <v>46</v>
      </c>
      <c r="AA227" s="0" t="s">
        <v>46</v>
      </c>
      <c r="AB227" s="0" t="s">
        <v>46</v>
      </c>
      <c r="AC227" s="0" t="s">
        <v>52</v>
      </c>
      <c r="AD227" s="0" t="s">
        <v>53</v>
      </c>
      <c r="AE227" s="0" t="s">
        <v>1474</v>
      </c>
      <c r="AF227" s="0" t="s">
        <v>1475</v>
      </c>
      <c r="AG227" s="0" t="s">
        <v>1476</v>
      </c>
      <c r="AH227" s="0" t="s">
        <v>46</v>
      </c>
      <c r="AI227" s="0" t="s">
        <v>46</v>
      </c>
      <c r="AJ227" s="0" t="s">
        <v>46</v>
      </c>
      <c r="AK227" s="0" t="s">
        <v>46</v>
      </c>
      <c r="AL227" s="0" t="s">
        <v>46</v>
      </c>
    </row>
    <row r="228" customFormat="false" ht="15" hidden="false" customHeight="false" outlineLevel="0" collapsed="false">
      <c r="B228" s="0" t="str">
        <f aca="false">HYPERLINK("https://genome.ucsc.edu/cgi-bin/hgTracks?db=hg19&amp;position=chr2%3A231033634%2D231033634", "chr2:231033634")</f>
        <v>chr2:231033634</v>
      </c>
      <c r="C228" s="0" t="s">
        <v>122</v>
      </c>
      <c r="D228" s="0" t="n">
        <v>231033634</v>
      </c>
      <c r="E228" s="0" t="n">
        <v>231033634</v>
      </c>
      <c r="F228" s="0" t="s">
        <v>312</v>
      </c>
      <c r="G228" s="0" t="s">
        <v>1477</v>
      </c>
      <c r="H228" s="0" t="s">
        <v>1478</v>
      </c>
      <c r="I228" s="0" t="s">
        <v>1479</v>
      </c>
      <c r="J228" s="0" t="s">
        <v>1480</v>
      </c>
      <c r="K228" s="0" t="s">
        <v>46</v>
      </c>
      <c r="L228" s="0" t="s">
        <v>46</v>
      </c>
      <c r="M228" s="0" t="str">
        <f aca="false">HYPERLINK("https://www.genecards.org/Search/Keyword?queryString=%5Baliases%5D(%20SP110%20)&amp;keywords=SP110", "SP110")</f>
        <v>SP110</v>
      </c>
      <c r="N228" s="0" t="s">
        <v>1481</v>
      </c>
      <c r="O228" s="0" t="s">
        <v>46</v>
      </c>
      <c r="P228" s="0" t="s">
        <v>1482</v>
      </c>
      <c r="Q228" s="0" t="n">
        <v>-1</v>
      </c>
      <c r="R228" s="0" t="n">
        <v>-1</v>
      </c>
      <c r="S228" s="0" t="n">
        <v>-1</v>
      </c>
      <c r="T228" s="0" t="n">
        <v>-1</v>
      </c>
      <c r="U228" s="0" t="n">
        <v>-1</v>
      </c>
      <c r="V228" s="0" t="s">
        <v>46</v>
      </c>
      <c r="W228" s="0" t="s">
        <v>46</v>
      </c>
      <c r="X228" s="0" t="s">
        <v>46</v>
      </c>
      <c r="Y228" s="0" t="s">
        <v>46</v>
      </c>
      <c r="Z228" s="0" t="s">
        <v>46</v>
      </c>
      <c r="AA228" s="0" t="s">
        <v>46</v>
      </c>
      <c r="AB228" s="0" t="s">
        <v>46</v>
      </c>
      <c r="AC228" s="0" t="s">
        <v>319</v>
      </c>
      <c r="AD228" s="0" t="s">
        <v>53</v>
      </c>
      <c r="AE228" s="0" t="s">
        <v>1483</v>
      </c>
      <c r="AF228" s="0" t="s">
        <v>1484</v>
      </c>
      <c r="AG228" s="0" t="s">
        <v>1485</v>
      </c>
      <c r="AH228" s="0" t="s">
        <v>1486</v>
      </c>
      <c r="AI228" s="0" t="s">
        <v>46</v>
      </c>
      <c r="AJ228" s="0" t="s">
        <v>46</v>
      </c>
      <c r="AK228" s="0" t="s">
        <v>46</v>
      </c>
      <c r="AL228" s="0" t="s">
        <v>46</v>
      </c>
    </row>
    <row r="229" customFormat="false" ht="15" hidden="false" customHeight="false" outlineLevel="0" collapsed="false">
      <c r="B229" s="0" t="str">
        <f aca="false">HYPERLINK("https://genome.ucsc.edu/cgi-bin/hgTracks?db=hg19&amp;position=chr20%3A10273694%2D10273694", "chr20:10273694")</f>
        <v>chr20:10273694</v>
      </c>
      <c r="C229" s="0" t="s">
        <v>213</v>
      </c>
      <c r="D229" s="0" t="n">
        <v>10273694</v>
      </c>
      <c r="E229" s="0" t="n">
        <v>10273694</v>
      </c>
      <c r="F229" s="0" t="s">
        <v>312</v>
      </c>
      <c r="G229" s="0" t="s">
        <v>39</v>
      </c>
      <c r="H229" s="0" t="s">
        <v>1487</v>
      </c>
      <c r="I229" s="0" t="s">
        <v>364</v>
      </c>
      <c r="J229" s="0" t="s">
        <v>1488</v>
      </c>
      <c r="K229" s="0" t="s">
        <v>46</v>
      </c>
      <c r="L229" s="0" t="str">
        <f aca="false">HYPERLINK("https://www.ncbi.nlm.nih.gov/snp/rs770058307", "rs770058307")</f>
        <v>rs770058307</v>
      </c>
      <c r="M229" s="0" t="str">
        <f aca="false">HYPERLINK("https://www.genecards.org/Search/Keyword?queryString=%5Baliases%5D(%20SNAP25%20)&amp;keywords=SNAP25", "SNAP25")</f>
        <v>SNAP25</v>
      </c>
      <c r="N229" s="0" t="s">
        <v>366</v>
      </c>
      <c r="O229" s="0" t="s">
        <v>46</v>
      </c>
      <c r="P229" s="0" t="s">
        <v>46</v>
      </c>
      <c r="Q229" s="0" t="n">
        <v>0.0225</v>
      </c>
      <c r="R229" s="0" t="n">
        <v>0.0183</v>
      </c>
      <c r="S229" s="0" t="n">
        <v>0.0144</v>
      </c>
      <c r="T229" s="0" t="n">
        <v>-1</v>
      </c>
      <c r="U229" s="0" t="n">
        <v>0.0349</v>
      </c>
      <c r="V229" s="0" t="s">
        <v>46</v>
      </c>
      <c r="W229" s="0" t="s">
        <v>46</v>
      </c>
      <c r="X229" s="0" t="s">
        <v>46</v>
      </c>
      <c r="Y229" s="0" t="s">
        <v>46</v>
      </c>
      <c r="Z229" s="0" t="s">
        <v>46</v>
      </c>
      <c r="AA229" s="0" t="s">
        <v>46</v>
      </c>
      <c r="AB229" s="0" t="s">
        <v>46</v>
      </c>
      <c r="AC229" s="0" t="s">
        <v>52</v>
      </c>
      <c r="AD229" s="0" t="s">
        <v>53</v>
      </c>
      <c r="AE229" s="0" t="s">
        <v>1489</v>
      </c>
      <c r="AF229" s="0" t="s">
        <v>1490</v>
      </c>
      <c r="AG229" s="0" t="s">
        <v>1491</v>
      </c>
      <c r="AH229" s="0" t="s">
        <v>1492</v>
      </c>
      <c r="AI229" s="0" t="s">
        <v>46</v>
      </c>
      <c r="AJ229" s="0" t="s">
        <v>46</v>
      </c>
      <c r="AK229" s="0" t="s">
        <v>46</v>
      </c>
      <c r="AL229" s="0" t="s">
        <v>46</v>
      </c>
    </row>
    <row r="230" customFormat="false" ht="15" hidden="false" customHeight="false" outlineLevel="0" collapsed="false">
      <c r="B230" s="0" t="str">
        <f aca="false">HYPERLINK("https://genome.ucsc.edu/cgi-bin/hgTracks?db=hg19&amp;position=chr20%3A21112978%2D21112978", "chr20:21112978")</f>
        <v>chr20:21112978</v>
      </c>
      <c r="C230" s="0" t="s">
        <v>213</v>
      </c>
      <c r="D230" s="0" t="n">
        <v>21112978</v>
      </c>
      <c r="E230" s="0" t="n">
        <v>21112978</v>
      </c>
      <c r="F230" s="0" t="s">
        <v>72</v>
      </c>
      <c r="G230" s="0" t="s">
        <v>39</v>
      </c>
      <c r="H230" s="0" t="s">
        <v>1493</v>
      </c>
      <c r="I230" s="0" t="s">
        <v>666</v>
      </c>
      <c r="J230" s="0" t="s">
        <v>1494</v>
      </c>
      <c r="K230" s="0" t="s">
        <v>46</v>
      </c>
      <c r="L230" s="0" t="str">
        <f aca="false">HYPERLINK("https://www.ncbi.nlm.nih.gov/snp/rs140679219", "rs140679219")</f>
        <v>rs140679219</v>
      </c>
      <c r="M230" s="0" t="str">
        <f aca="false">HYPERLINK("https://www.genecards.org/Search/Keyword?queryString=%5Baliases%5D(%20KIZ%20)%20OR%20%5Baliases%5D(%20PLK1S1%20)&amp;keywords=KIZ,PLK1S1", "KIZ;PLK1S1")</f>
        <v>KIZ;PLK1S1</v>
      </c>
      <c r="N230" s="0" t="s">
        <v>366</v>
      </c>
      <c r="O230" s="0" t="s">
        <v>46</v>
      </c>
      <c r="P230" s="0" t="s">
        <v>46</v>
      </c>
      <c r="Q230" s="0" t="n">
        <v>0.0144</v>
      </c>
      <c r="R230" s="0" t="n">
        <v>0.0071</v>
      </c>
      <c r="S230" s="0" t="n">
        <v>0.0076</v>
      </c>
      <c r="T230" s="0" t="n">
        <v>-1</v>
      </c>
      <c r="U230" s="0" t="n">
        <v>0.0076</v>
      </c>
      <c r="V230" s="0" t="s">
        <v>46</v>
      </c>
      <c r="W230" s="0" t="s">
        <v>46</v>
      </c>
      <c r="X230" s="0" t="s">
        <v>46</v>
      </c>
      <c r="Y230" s="0" t="s">
        <v>46</v>
      </c>
      <c r="Z230" s="0" t="s">
        <v>46</v>
      </c>
      <c r="AA230" s="0" t="s">
        <v>46</v>
      </c>
      <c r="AB230" s="0" t="s">
        <v>46</v>
      </c>
      <c r="AC230" s="0" t="s">
        <v>52</v>
      </c>
      <c r="AD230" s="0" t="s">
        <v>182</v>
      </c>
      <c r="AE230" s="0" t="s">
        <v>46</v>
      </c>
      <c r="AF230" s="0" t="s">
        <v>1495</v>
      </c>
      <c r="AG230" s="0" t="s">
        <v>1496</v>
      </c>
      <c r="AH230" s="0" t="s">
        <v>1497</v>
      </c>
      <c r="AI230" s="0" t="s">
        <v>46</v>
      </c>
      <c r="AJ230" s="0" t="s">
        <v>46</v>
      </c>
      <c r="AK230" s="0" t="s">
        <v>46</v>
      </c>
      <c r="AL230" s="0" t="s">
        <v>46</v>
      </c>
    </row>
    <row r="231" customFormat="false" ht="15" hidden="false" customHeight="false" outlineLevel="0" collapsed="false">
      <c r="B231" s="0" t="str">
        <f aca="false">HYPERLINK("https://genome.ucsc.edu/cgi-bin/hgTracks?db=hg19&amp;position=chr20%3A36855539%2D36855539", "chr20:36855539")</f>
        <v>chr20:36855539</v>
      </c>
      <c r="C231" s="0" t="s">
        <v>213</v>
      </c>
      <c r="D231" s="0" t="n">
        <v>36855539</v>
      </c>
      <c r="E231" s="0" t="n">
        <v>36855539</v>
      </c>
      <c r="F231" s="0" t="s">
        <v>40</v>
      </c>
      <c r="G231" s="0" t="s">
        <v>39</v>
      </c>
      <c r="H231" s="0" t="s">
        <v>1110</v>
      </c>
      <c r="I231" s="0" t="s">
        <v>1498</v>
      </c>
      <c r="J231" s="0" t="s">
        <v>1499</v>
      </c>
      <c r="K231" s="0" t="s">
        <v>46</v>
      </c>
      <c r="L231" s="0" t="str">
        <f aca="false">HYPERLINK("https://www.ncbi.nlm.nih.gov/snp/rs41282818", "rs41282818")</f>
        <v>rs41282818</v>
      </c>
      <c r="M231" s="0" t="str">
        <f aca="false">HYPERLINK("https://www.genecards.org/Search/Keyword?queryString=%5Baliases%5D(%20KIAA1755%20)&amp;keywords=KIAA1755", "KIAA1755")</f>
        <v>KIAA1755</v>
      </c>
      <c r="N231" s="0" t="s">
        <v>63</v>
      </c>
      <c r="O231" s="0" t="s">
        <v>46</v>
      </c>
      <c r="P231" s="0" t="s">
        <v>46</v>
      </c>
      <c r="Q231" s="0" t="n">
        <v>0.0259</v>
      </c>
      <c r="R231" s="0" t="n">
        <v>0.0102</v>
      </c>
      <c r="S231" s="0" t="n">
        <v>0.009</v>
      </c>
      <c r="T231" s="0" t="n">
        <v>-1</v>
      </c>
      <c r="U231" s="0" t="n">
        <v>0.0129</v>
      </c>
      <c r="V231" s="0" t="s">
        <v>46</v>
      </c>
      <c r="W231" s="0" t="s">
        <v>46</v>
      </c>
      <c r="X231" s="0" t="s">
        <v>385</v>
      </c>
      <c r="Y231" s="0" t="s">
        <v>64</v>
      </c>
      <c r="Z231" s="0" t="s">
        <v>46</v>
      </c>
      <c r="AA231" s="0" t="s">
        <v>46</v>
      </c>
      <c r="AB231" s="0" t="s">
        <v>46</v>
      </c>
      <c r="AC231" s="0" t="s">
        <v>52</v>
      </c>
      <c r="AD231" s="0" t="s">
        <v>53</v>
      </c>
      <c r="AE231" s="0" t="s">
        <v>1500</v>
      </c>
      <c r="AF231" s="0" t="s">
        <v>1501</v>
      </c>
      <c r="AG231" s="0" t="s">
        <v>46</v>
      </c>
      <c r="AH231" s="0" t="s">
        <v>46</v>
      </c>
      <c r="AI231" s="0" t="s">
        <v>46</v>
      </c>
      <c r="AJ231" s="0" t="s">
        <v>46</v>
      </c>
      <c r="AK231" s="0" t="s">
        <v>46</v>
      </c>
      <c r="AL231" s="0" t="s">
        <v>46</v>
      </c>
    </row>
    <row r="232" customFormat="false" ht="15" hidden="false" customHeight="false" outlineLevel="0" collapsed="false">
      <c r="B232" s="0" t="str">
        <f aca="false">HYPERLINK("https://genome.ucsc.edu/cgi-bin/hgTracks?db=hg19&amp;position=chr20%3A43133381%2D43133381", "chr20:43133381")</f>
        <v>chr20:43133381</v>
      </c>
      <c r="C232" s="0" t="s">
        <v>213</v>
      </c>
      <c r="D232" s="0" t="n">
        <v>43133381</v>
      </c>
      <c r="E232" s="0" t="n">
        <v>43133381</v>
      </c>
      <c r="F232" s="0" t="s">
        <v>39</v>
      </c>
      <c r="G232" s="0" t="s">
        <v>40</v>
      </c>
      <c r="H232" s="0" t="s">
        <v>1502</v>
      </c>
      <c r="I232" s="0" t="s">
        <v>315</v>
      </c>
      <c r="J232" s="0" t="s">
        <v>1503</v>
      </c>
      <c r="K232" s="0" t="s">
        <v>46</v>
      </c>
      <c r="L232" s="0" t="str">
        <f aca="false">HYPERLINK("https://www.ncbi.nlm.nih.gov/snp/rs181742670", "rs181742670")</f>
        <v>rs181742670</v>
      </c>
      <c r="M232" s="0" t="str">
        <f aca="false">HYPERLINK("https://www.genecards.org/Search/Keyword?queryString=%5Baliases%5D(%20SERINC3%20)&amp;keywords=SERINC3", "SERINC3")</f>
        <v>SERINC3</v>
      </c>
      <c r="N232" s="0" t="s">
        <v>63</v>
      </c>
      <c r="O232" s="0" t="s">
        <v>46</v>
      </c>
      <c r="P232" s="0" t="s">
        <v>46</v>
      </c>
      <c r="Q232" s="0" t="n">
        <v>0.0193</v>
      </c>
      <c r="R232" s="0" t="n">
        <v>0.006</v>
      </c>
      <c r="S232" s="0" t="n">
        <v>0.0066</v>
      </c>
      <c r="T232" s="0" t="n">
        <v>-1</v>
      </c>
      <c r="U232" s="0" t="n">
        <v>0.006</v>
      </c>
      <c r="V232" s="0" t="s">
        <v>46</v>
      </c>
      <c r="W232" s="0" t="s">
        <v>46</v>
      </c>
      <c r="X232" s="0" t="s">
        <v>385</v>
      </c>
      <c r="Y232" s="0" t="s">
        <v>64</v>
      </c>
      <c r="Z232" s="0" t="s">
        <v>46</v>
      </c>
      <c r="AA232" s="0" t="s">
        <v>46</v>
      </c>
      <c r="AB232" s="0" t="s">
        <v>46</v>
      </c>
      <c r="AC232" s="0" t="s">
        <v>52</v>
      </c>
      <c r="AD232" s="0" t="s">
        <v>53</v>
      </c>
      <c r="AE232" s="0" t="s">
        <v>1504</v>
      </c>
      <c r="AF232" s="0" t="s">
        <v>1505</v>
      </c>
      <c r="AG232" s="0" t="s">
        <v>1506</v>
      </c>
      <c r="AH232" s="0" t="s">
        <v>46</v>
      </c>
      <c r="AI232" s="0" t="s">
        <v>46</v>
      </c>
      <c r="AJ232" s="0" t="s">
        <v>46</v>
      </c>
      <c r="AK232" s="0" t="s">
        <v>46</v>
      </c>
      <c r="AL232" s="0" t="s">
        <v>46</v>
      </c>
    </row>
    <row r="233" customFormat="false" ht="15" hidden="false" customHeight="false" outlineLevel="0" collapsed="false">
      <c r="B233" s="0" t="str">
        <f aca="false">HYPERLINK("https://genome.ucsc.edu/cgi-bin/hgTracks?db=hg19&amp;position=chr21%3A14743754%2D14743754", "chr21:14743754")</f>
        <v>chr21:14743754</v>
      </c>
      <c r="C233" s="0" t="s">
        <v>174</v>
      </c>
      <c r="D233" s="0" t="n">
        <v>14743754</v>
      </c>
      <c r="E233" s="0" t="n">
        <v>14743754</v>
      </c>
      <c r="F233" s="0" t="s">
        <v>40</v>
      </c>
      <c r="G233" s="0" t="s">
        <v>39</v>
      </c>
      <c r="H233" s="0" t="s">
        <v>1507</v>
      </c>
      <c r="I233" s="0" t="s">
        <v>1508</v>
      </c>
      <c r="J233" s="0" t="s">
        <v>1509</v>
      </c>
      <c r="K233" s="0" t="s">
        <v>46</v>
      </c>
      <c r="L233" s="0" t="str">
        <f aca="false">HYPERLINK("https://www.ncbi.nlm.nih.gov/snp/rs74734987", "rs74734987")</f>
        <v>rs74734987</v>
      </c>
      <c r="M233" s="0" t="s">
        <v>46</v>
      </c>
      <c r="N233" s="0" t="s">
        <v>1510</v>
      </c>
      <c r="O233" s="0" t="s">
        <v>46</v>
      </c>
      <c r="P233" s="0" t="s">
        <v>1511</v>
      </c>
      <c r="Q233" s="0" t="n">
        <v>7.307E-005</v>
      </c>
      <c r="R233" s="0" t="n">
        <v>9.188E-005</v>
      </c>
      <c r="S233" s="0" t="n">
        <v>7.467E-005</v>
      </c>
      <c r="T233" s="0" t="n">
        <v>-1</v>
      </c>
      <c r="U233" s="0" t="n">
        <v>0.0002</v>
      </c>
      <c r="V233" s="0" t="s">
        <v>46</v>
      </c>
      <c r="W233" s="0" t="s">
        <v>46</v>
      </c>
      <c r="X233" s="0" t="s">
        <v>385</v>
      </c>
      <c r="Y233" s="0" t="s">
        <v>50</v>
      </c>
      <c r="Z233" s="0" t="s">
        <v>46</v>
      </c>
      <c r="AA233" s="0" t="s">
        <v>46</v>
      </c>
      <c r="AB233" s="0" t="s">
        <v>46</v>
      </c>
      <c r="AC233" s="0" t="s">
        <v>52</v>
      </c>
      <c r="AD233" s="0" t="s">
        <v>870</v>
      </c>
      <c r="AE233" s="0" t="s">
        <v>46</v>
      </c>
      <c r="AF233" s="0" t="s">
        <v>46</v>
      </c>
      <c r="AG233" s="0" t="s">
        <v>46</v>
      </c>
      <c r="AH233" s="0" t="s">
        <v>46</v>
      </c>
      <c r="AI233" s="0" t="s">
        <v>46</v>
      </c>
      <c r="AJ233" s="0" t="s">
        <v>46</v>
      </c>
      <c r="AK233" s="0" t="s">
        <v>46</v>
      </c>
      <c r="AL233" s="0" t="s">
        <v>46</v>
      </c>
    </row>
    <row r="234" customFormat="false" ht="15" hidden="false" customHeight="false" outlineLevel="0" collapsed="false">
      <c r="B234" s="0" t="str">
        <f aca="false">HYPERLINK("https://genome.ucsc.edu/cgi-bin/hgTracks?db=hg19&amp;position=chr21%3A14743800%2D14743800", "chr21:14743800")</f>
        <v>chr21:14743800</v>
      </c>
      <c r="C234" s="0" t="s">
        <v>174</v>
      </c>
      <c r="D234" s="0" t="n">
        <v>14743800</v>
      </c>
      <c r="E234" s="0" t="n">
        <v>14743800</v>
      </c>
      <c r="F234" s="0" t="s">
        <v>72</v>
      </c>
      <c r="G234" s="0" t="s">
        <v>39</v>
      </c>
      <c r="H234" s="0" t="s">
        <v>1512</v>
      </c>
      <c r="I234" s="0" t="s">
        <v>1513</v>
      </c>
      <c r="J234" s="0" t="s">
        <v>1514</v>
      </c>
      <c r="K234" s="0" t="s">
        <v>46</v>
      </c>
      <c r="L234" s="0" t="str">
        <f aca="false">HYPERLINK("https://www.ncbi.nlm.nih.gov/snp/rs796634144", "rs796634144")</f>
        <v>rs796634144</v>
      </c>
      <c r="M234" s="0" t="s">
        <v>46</v>
      </c>
      <c r="N234" s="0" t="s">
        <v>1515</v>
      </c>
      <c r="O234" s="0" t="s">
        <v>46</v>
      </c>
      <c r="P234" s="0" t="s">
        <v>1516</v>
      </c>
      <c r="Q234" s="0" t="n">
        <v>0.0001</v>
      </c>
      <c r="R234" s="0" t="n">
        <v>0.0001</v>
      </c>
      <c r="S234" s="0" t="n">
        <v>-1</v>
      </c>
      <c r="T234" s="0" t="n">
        <v>-1</v>
      </c>
      <c r="U234" s="0" t="n">
        <v>-1</v>
      </c>
      <c r="V234" s="0" t="s">
        <v>46</v>
      </c>
      <c r="W234" s="0" t="s">
        <v>46</v>
      </c>
      <c r="X234" s="0" t="s">
        <v>385</v>
      </c>
      <c r="Y234" s="0" t="s">
        <v>64</v>
      </c>
      <c r="Z234" s="0" t="s">
        <v>46</v>
      </c>
      <c r="AA234" s="0" t="s">
        <v>46</v>
      </c>
      <c r="AB234" s="0" t="s">
        <v>46</v>
      </c>
      <c r="AC234" s="0" t="s">
        <v>52</v>
      </c>
      <c r="AD234" s="0" t="s">
        <v>870</v>
      </c>
      <c r="AE234" s="0" t="s">
        <v>46</v>
      </c>
      <c r="AF234" s="0" t="s">
        <v>46</v>
      </c>
      <c r="AG234" s="0" t="s">
        <v>46</v>
      </c>
      <c r="AH234" s="0" t="s">
        <v>46</v>
      </c>
      <c r="AI234" s="0" t="s">
        <v>929</v>
      </c>
      <c r="AJ234" s="0" t="s">
        <v>46</v>
      </c>
      <c r="AK234" s="0" t="s">
        <v>46</v>
      </c>
      <c r="AL234" s="0" t="s">
        <v>46</v>
      </c>
    </row>
    <row r="235" customFormat="false" ht="15" hidden="false" customHeight="false" outlineLevel="0" collapsed="false">
      <c r="B235" s="0" t="str">
        <f aca="false">HYPERLINK("https://genome.ucsc.edu/cgi-bin/hgTracks?db=hg19&amp;position=chr21%3A43332607%2D43332607", "chr21:43332607")</f>
        <v>chr21:43332607</v>
      </c>
      <c r="C235" s="0" t="s">
        <v>174</v>
      </c>
      <c r="D235" s="0" t="n">
        <v>43332607</v>
      </c>
      <c r="E235" s="0" t="n">
        <v>43332607</v>
      </c>
      <c r="F235" s="0" t="s">
        <v>39</v>
      </c>
      <c r="G235" s="0" t="s">
        <v>72</v>
      </c>
      <c r="H235" s="0" t="s">
        <v>1366</v>
      </c>
      <c r="I235" s="0" t="s">
        <v>666</v>
      </c>
      <c r="J235" s="0" t="s">
        <v>1494</v>
      </c>
      <c r="K235" s="0" t="s">
        <v>46</v>
      </c>
      <c r="L235" s="0" t="str">
        <f aca="false">HYPERLINK("https://www.ncbi.nlm.nih.gov/snp/rs569941678", "rs569941678")</f>
        <v>rs569941678</v>
      </c>
      <c r="M235" s="0" t="str">
        <f aca="false">HYPERLINK("https://www.genecards.org/Search/Keyword?queryString=%5Baliases%5D(%20C2CD2%20)&amp;keywords=C2CD2", "C2CD2")</f>
        <v>C2CD2</v>
      </c>
      <c r="N235" s="0" t="s">
        <v>63</v>
      </c>
      <c r="O235" s="0" t="s">
        <v>46</v>
      </c>
      <c r="P235" s="0" t="s">
        <v>46</v>
      </c>
      <c r="Q235" s="0" t="n">
        <v>0.004</v>
      </c>
      <c r="R235" s="0" t="n">
        <v>0.0041</v>
      </c>
      <c r="S235" s="0" t="n">
        <v>0.0034</v>
      </c>
      <c r="T235" s="0" t="n">
        <v>-1</v>
      </c>
      <c r="U235" s="0" t="n">
        <v>0.0031</v>
      </c>
      <c r="V235" s="0" t="s">
        <v>46</v>
      </c>
      <c r="W235" s="0" t="s">
        <v>46</v>
      </c>
      <c r="X235" s="0" t="s">
        <v>385</v>
      </c>
      <c r="Y235" s="0" t="s">
        <v>64</v>
      </c>
      <c r="Z235" s="0" t="s">
        <v>46</v>
      </c>
      <c r="AA235" s="0" t="s">
        <v>46</v>
      </c>
      <c r="AB235" s="0" t="s">
        <v>46</v>
      </c>
      <c r="AC235" s="0" t="s">
        <v>52</v>
      </c>
      <c r="AD235" s="0" t="s">
        <v>53</v>
      </c>
      <c r="AE235" s="0" t="s">
        <v>1517</v>
      </c>
      <c r="AF235" s="0" t="s">
        <v>1518</v>
      </c>
      <c r="AG235" s="0" t="s">
        <v>46</v>
      </c>
      <c r="AH235" s="0" t="s">
        <v>46</v>
      </c>
      <c r="AI235" s="0" t="s">
        <v>46</v>
      </c>
      <c r="AJ235" s="0" t="s">
        <v>46</v>
      </c>
      <c r="AK235" s="0" t="s">
        <v>46</v>
      </c>
      <c r="AL235" s="0" t="s">
        <v>46</v>
      </c>
    </row>
    <row r="236" customFormat="false" ht="15" hidden="false" customHeight="false" outlineLevel="0" collapsed="false">
      <c r="B236" s="0" t="str">
        <f aca="false">HYPERLINK("https://genome.ucsc.edu/cgi-bin/hgTracks?db=hg19&amp;position=chr21%3A43496306%2D43496309", "chr21:43496306")</f>
        <v>chr21:43496306</v>
      </c>
      <c r="C236" s="0" t="s">
        <v>174</v>
      </c>
      <c r="D236" s="0" t="n">
        <v>43496306</v>
      </c>
      <c r="E236" s="0" t="n">
        <v>43496309</v>
      </c>
      <c r="F236" s="0" t="s">
        <v>1519</v>
      </c>
      <c r="G236" s="0" t="s">
        <v>312</v>
      </c>
      <c r="H236" s="0" t="s">
        <v>1520</v>
      </c>
      <c r="I236" s="0" t="s">
        <v>336</v>
      </c>
      <c r="J236" s="0" t="s">
        <v>1521</v>
      </c>
      <c r="K236" s="0" t="s">
        <v>46</v>
      </c>
      <c r="L236" s="0" t="s">
        <v>46</v>
      </c>
      <c r="M236" s="0" t="str">
        <f aca="false">HYPERLINK("https://www.genecards.org/Search/Keyword?queryString=%5Baliases%5D(%20UMODL1%20)&amp;keywords=UMODL1", "UMODL1")</f>
        <v>UMODL1</v>
      </c>
      <c r="N236" s="0" t="s">
        <v>77</v>
      </c>
      <c r="O236" s="0" t="s">
        <v>623</v>
      </c>
      <c r="P236" s="0" t="s">
        <v>1522</v>
      </c>
      <c r="Q236" s="0" t="n">
        <v>-1</v>
      </c>
      <c r="R236" s="0" t="n">
        <v>-1</v>
      </c>
      <c r="S236" s="0" t="n">
        <v>-1</v>
      </c>
      <c r="T236" s="0" t="n">
        <v>-1</v>
      </c>
      <c r="U236" s="0" t="n">
        <v>-1</v>
      </c>
      <c r="V236" s="0" t="s">
        <v>46</v>
      </c>
      <c r="W236" s="0" t="s">
        <v>46</v>
      </c>
      <c r="X236" s="0" t="s">
        <v>46</v>
      </c>
      <c r="Y236" s="0" t="s">
        <v>46</v>
      </c>
      <c r="Z236" s="0" t="s">
        <v>46</v>
      </c>
      <c r="AA236" s="0" t="s">
        <v>46</v>
      </c>
      <c r="AB236" s="0" t="s">
        <v>46</v>
      </c>
      <c r="AC236" s="0" t="s">
        <v>52</v>
      </c>
      <c r="AD236" s="0" t="s">
        <v>53</v>
      </c>
      <c r="AE236" s="0" t="s">
        <v>1523</v>
      </c>
      <c r="AF236" s="0" t="s">
        <v>1524</v>
      </c>
      <c r="AG236" s="0" t="s">
        <v>46</v>
      </c>
      <c r="AH236" s="0" t="s">
        <v>46</v>
      </c>
      <c r="AI236" s="0" t="s">
        <v>46</v>
      </c>
      <c r="AJ236" s="0" t="s">
        <v>46</v>
      </c>
      <c r="AK236" s="0" t="s">
        <v>46</v>
      </c>
      <c r="AL236" s="0" t="s">
        <v>46</v>
      </c>
    </row>
    <row r="237" s="2" customFormat="true" ht="15" hidden="false" customHeight="false" outlineLevel="0" collapsed="false">
      <c r="B237" s="2" t="str">
        <f aca="false">HYPERLINK("https://genome.ucsc.edu/cgi-bin/hgTracks?db=hg19&amp;position=chr22%3A17694930%2D17694930", "chr22:17694930")</f>
        <v>chr22:17694930</v>
      </c>
      <c r="C237" s="2" t="s">
        <v>234</v>
      </c>
      <c r="D237" s="2" t="n">
        <v>17694930</v>
      </c>
      <c r="E237" s="2" t="n">
        <v>17694930</v>
      </c>
      <c r="F237" s="2" t="s">
        <v>312</v>
      </c>
      <c r="G237" s="2" t="s">
        <v>72</v>
      </c>
      <c r="H237" s="2" t="s">
        <v>1525</v>
      </c>
      <c r="I237" s="2" t="s">
        <v>648</v>
      </c>
      <c r="J237" s="2" t="s">
        <v>1526</v>
      </c>
      <c r="K237" s="2" t="s">
        <v>46</v>
      </c>
      <c r="L237" s="2" t="s">
        <v>46</v>
      </c>
      <c r="M237" s="2" t="str">
        <f aca="false">HYPERLINK("https://www.genecards.org/Search/Keyword?queryString=%5Baliases%5D(%20ADA2%20)%20OR%20%5Baliases%5D(%20CECR1%20)&amp;keywords=ADA2,CECR1", "ADA2;CECR1")</f>
        <v>ADA2;CECR1</v>
      </c>
      <c r="N237" s="2" t="s">
        <v>609</v>
      </c>
      <c r="O237" s="2" t="s">
        <v>46</v>
      </c>
      <c r="P237" s="2" t="s">
        <v>46</v>
      </c>
      <c r="Q237" s="2" t="n">
        <v>-1</v>
      </c>
      <c r="R237" s="2" t="n">
        <v>-1</v>
      </c>
      <c r="S237" s="2" t="n">
        <v>-1</v>
      </c>
      <c r="T237" s="2" t="n">
        <v>-1</v>
      </c>
      <c r="U237" s="2" t="n">
        <v>-1</v>
      </c>
      <c r="V237" s="2" t="s">
        <v>46</v>
      </c>
      <c r="W237" s="2" t="s">
        <v>46</v>
      </c>
      <c r="X237" s="2" t="s">
        <v>46</v>
      </c>
      <c r="Y237" s="2" t="s">
        <v>46</v>
      </c>
      <c r="Z237" s="2" t="s">
        <v>46</v>
      </c>
      <c r="AA237" s="2" t="s">
        <v>46</v>
      </c>
      <c r="AB237" s="2" t="s">
        <v>46</v>
      </c>
      <c r="AC237" s="2" t="s">
        <v>319</v>
      </c>
      <c r="AD237" s="2" t="s">
        <v>182</v>
      </c>
      <c r="AE237" s="2" t="s">
        <v>1527</v>
      </c>
      <c r="AF237" s="2" t="s">
        <v>1528</v>
      </c>
      <c r="AG237" s="2" t="s">
        <v>1529</v>
      </c>
      <c r="AH237" s="2" t="s">
        <v>1530</v>
      </c>
      <c r="AI237" s="2" t="s">
        <v>46</v>
      </c>
      <c r="AJ237" s="2" t="s">
        <v>46</v>
      </c>
      <c r="AK237" s="2" t="s">
        <v>46</v>
      </c>
      <c r="AL237" s="2" t="s">
        <v>46</v>
      </c>
    </row>
    <row r="238" customFormat="false" ht="15" hidden="false" customHeight="false" outlineLevel="0" collapsed="false">
      <c r="B238" s="0" t="str">
        <f aca="false">HYPERLINK("https://genome.ucsc.edu/cgi-bin/hgTracks?db=hg19&amp;position=chr22%3A18898295%2D18898295", "chr22:18898295")</f>
        <v>chr22:18898295</v>
      </c>
      <c r="C238" s="0" t="s">
        <v>234</v>
      </c>
      <c r="D238" s="0" t="n">
        <v>18898295</v>
      </c>
      <c r="E238" s="0" t="n">
        <v>18898295</v>
      </c>
      <c r="F238" s="0" t="s">
        <v>58</v>
      </c>
      <c r="G238" s="0" t="s">
        <v>72</v>
      </c>
      <c r="H238" s="0" t="s">
        <v>1531</v>
      </c>
      <c r="I238" s="0" t="s">
        <v>621</v>
      </c>
      <c r="J238" s="0" t="s">
        <v>1532</v>
      </c>
      <c r="K238" s="0" t="s">
        <v>46</v>
      </c>
      <c r="L238" s="0" t="str">
        <f aca="false">HYPERLINK("https://www.ncbi.nlm.nih.gov/snp/rs185812787", "rs185812787")</f>
        <v>rs185812787</v>
      </c>
      <c r="M238" s="0" t="str">
        <f aca="false">HYPERLINK("https://www.genecards.org/Search/Keyword?queryString=%5Baliases%5D(%20DGCR6%20)%20OR%20%5Baliases%5D(%20LOC102724770%20)&amp;keywords=DGCR6,LOC102724770", "DGCR6;LOC102724770")</f>
        <v>DGCR6;LOC102724770</v>
      </c>
      <c r="N238" s="0" t="s">
        <v>63</v>
      </c>
      <c r="O238" s="0" t="s">
        <v>46</v>
      </c>
      <c r="P238" s="0" t="s">
        <v>46</v>
      </c>
      <c r="Q238" s="0" t="n">
        <v>0.0104</v>
      </c>
      <c r="R238" s="0" t="n">
        <v>0.0088</v>
      </c>
      <c r="S238" s="0" t="n">
        <v>0.0085</v>
      </c>
      <c r="T238" s="0" t="n">
        <v>-1</v>
      </c>
      <c r="U238" s="0" t="n">
        <v>0.0071</v>
      </c>
      <c r="V238" s="0" t="s">
        <v>46</v>
      </c>
      <c r="W238" s="0" t="s">
        <v>46</v>
      </c>
      <c r="X238" s="0" t="s">
        <v>49</v>
      </c>
      <c r="Y238" s="0" t="s">
        <v>64</v>
      </c>
      <c r="Z238" s="0" t="s">
        <v>46</v>
      </c>
      <c r="AA238" s="0" t="s">
        <v>46</v>
      </c>
      <c r="AB238" s="0" t="s">
        <v>46</v>
      </c>
      <c r="AC238" s="0" t="s">
        <v>52</v>
      </c>
      <c r="AD238" s="0" t="s">
        <v>182</v>
      </c>
      <c r="AE238" s="0" t="s">
        <v>1533</v>
      </c>
      <c r="AF238" s="0" t="s">
        <v>1534</v>
      </c>
      <c r="AG238" s="0" t="s">
        <v>1535</v>
      </c>
      <c r="AH238" s="0" t="s">
        <v>46</v>
      </c>
      <c r="AI238" s="0" t="s">
        <v>46</v>
      </c>
      <c r="AJ238" s="0" t="s">
        <v>46</v>
      </c>
      <c r="AK238" s="0" t="s">
        <v>46</v>
      </c>
      <c r="AL238" s="0" t="s">
        <v>46</v>
      </c>
    </row>
    <row r="239" customFormat="false" ht="15" hidden="false" customHeight="false" outlineLevel="0" collapsed="false">
      <c r="B239" s="0" t="str">
        <f aca="false">HYPERLINK("https://genome.ucsc.edu/cgi-bin/hgTracks?db=hg19&amp;position=chr22%3A25024040%2D25024040", "chr22:25024040")</f>
        <v>chr22:25024040</v>
      </c>
      <c r="C239" s="0" t="s">
        <v>234</v>
      </c>
      <c r="D239" s="0" t="n">
        <v>25024040</v>
      </c>
      <c r="E239" s="0" t="n">
        <v>25024040</v>
      </c>
      <c r="F239" s="0" t="s">
        <v>58</v>
      </c>
      <c r="G239" s="0" t="s">
        <v>72</v>
      </c>
      <c r="H239" s="0" t="s">
        <v>1536</v>
      </c>
      <c r="I239" s="0" t="s">
        <v>1537</v>
      </c>
      <c r="J239" s="0" t="s">
        <v>1538</v>
      </c>
      <c r="K239" s="0" t="s">
        <v>46</v>
      </c>
      <c r="L239" s="0" t="str">
        <f aca="false">HYPERLINK("https://www.ncbi.nlm.nih.gov/snp/rs74279113", "rs74279113")</f>
        <v>rs74279113</v>
      </c>
      <c r="M239" s="0" t="str">
        <f aca="false">HYPERLINK("https://www.genecards.org/Search/Keyword?queryString=%5Baliases%5D(%20GGT1%20)&amp;keywords=GGT1", "GGT1")</f>
        <v>GGT1</v>
      </c>
      <c r="N239" s="0" t="s">
        <v>63</v>
      </c>
      <c r="O239" s="0" t="s">
        <v>46</v>
      </c>
      <c r="P239" s="0" t="s">
        <v>46</v>
      </c>
      <c r="Q239" s="0" t="n">
        <v>0.0101163</v>
      </c>
      <c r="R239" s="0" t="n">
        <v>-1</v>
      </c>
      <c r="S239" s="0" t="n">
        <v>-1</v>
      </c>
      <c r="T239" s="0" t="n">
        <v>-1</v>
      </c>
      <c r="U239" s="0" t="n">
        <v>-1</v>
      </c>
      <c r="V239" s="0" t="s">
        <v>46</v>
      </c>
      <c r="W239" s="0" t="s">
        <v>49</v>
      </c>
      <c r="X239" s="0" t="s">
        <v>385</v>
      </c>
      <c r="Y239" s="0" t="s">
        <v>50</v>
      </c>
      <c r="Z239" s="0" t="s">
        <v>46</v>
      </c>
      <c r="AA239" s="0" t="s">
        <v>46</v>
      </c>
      <c r="AB239" s="0" t="s">
        <v>46</v>
      </c>
      <c r="AC239" s="0" t="s">
        <v>52</v>
      </c>
      <c r="AD239" s="0" t="s">
        <v>94</v>
      </c>
      <c r="AE239" s="0" t="s">
        <v>1539</v>
      </c>
      <c r="AF239" s="0" t="s">
        <v>1540</v>
      </c>
      <c r="AG239" s="0" t="s">
        <v>1541</v>
      </c>
      <c r="AH239" s="0" t="s">
        <v>1542</v>
      </c>
      <c r="AI239" s="0" t="s">
        <v>929</v>
      </c>
      <c r="AJ239" s="0" t="s">
        <v>46</v>
      </c>
      <c r="AK239" s="0" t="s">
        <v>46</v>
      </c>
      <c r="AL239" s="0" t="s">
        <v>195</v>
      </c>
    </row>
    <row r="240" customFormat="false" ht="15" hidden="false" customHeight="false" outlineLevel="0" collapsed="false">
      <c r="B240" s="0" t="str">
        <f aca="false">HYPERLINK("https://genome.ucsc.edu/cgi-bin/hgTracks?db=hg19&amp;position=chr22%3A25024363%2D25024363", "chr22:25024363")</f>
        <v>chr22:25024363</v>
      </c>
      <c r="C240" s="0" t="s">
        <v>234</v>
      </c>
      <c r="D240" s="0" t="n">
        <v>25024363</v>
      </c>
      <c r="E240" s="0" t="n">
        <v>25024363</v>
      </c>
      <c r="F240" s="0" t="s">
        <v>58</v>
      </c>
      <c r="G240" s="0" t="s">
        <v>72</v>
      </c>
      <c r="H240" s="0" t="s">
        <v>1543</v>
      </c>
      <c r="I240" s="0" t="s">
        <v>1246</v>
      </c>
      <c r="J240" s="0" t="s">
        <v>1544</v>
      </c>
      <c r="K240" s="0" t="s">
        <v>46</v>
      </c>
      <c r="L240" s="0" t="str">
        <f aca="false">HYPERLINK("https://www.ncbi.nlm.nih.gov/snp/rs756886269", "rs756886269")</f>
        <v>rs756886269</v>
      </c>
      <c r="M240" s="0" t="str">
        <f aca="false">HYPERLINK("https://www.genecards.org/Search/Keyword?queryString=%5Baliases%5D(%20GGT1%20)&amp;keywords=GGT1", "GGT1")</f>
        <v>GGT1</v>
      </c>
      <c r="N240" s="0" t="s">
        <v>63</v>
      </c>
      <c r="O240" s="0" t="s">
        <v>46</v>
      </c>
      <c r="P240" s="0" t="s">
        <v>46</v>
      </c>
      <c r="Q240" s="0" t="n">
        <v>6.49E-005</v>
      </c>
      <c r="R240" s="0" t="n">
        <v>9.037E-005</v>
      </c>
      <c r="S240" s="0" t="n">
        <v>7.354E-005</v>
      </c>
      <c r="T240" s="0" t="n">
        <v>-1</v>
      </c>
      <c r="U240" s="0" t="n">
        <v>-1</v>
      </c>
      <c r="V240" s="0" t="s">
        <v>46</v>
      </c>
      <c r="W240" s="0" t="s">
        <v>39</v>
      </c>
      <c r="X240" s="0" t="s">
        <v>49</v>
      </c>
      <c r="Y240" s="0" t="s">
        <v>64</v>
      </c>
      <c r="Z240" s="0" t="s">
        <v>46</v>
      </c>
      <c r="AA240" s="0" t="s">
        <v>46</v>
      </c>
      <c r="AB240" s="0" t="s">
        <v>46</v>
      </c>
      <c r="AC240" s="0" t="s">
        <v>52</v>
      </c>
      <c r="AD240" s="0" t="s">
        <v>94</v>
      </c>
      <c r="AE240" s="0" t="s">
        <v>1539</v>
      </c>
      <c r="AF240" s="0" t="s">
        <v>1540</v>
      </c>
      <c r="AG240" s="0" t="s">
        <v>1541</v>
      </c>
      <c r="AH240" s="0" t="s">
        <v>1542</v>
      </c>
      <c r="AI240" s="0" t="s">
        <v>46</v>
      </c>
      <c r="AJ240" s="0" t="s">
        <v>46</v>
      </c>
      <c r="AK240" s="0" t="s">
        <v>46</v>
      </c>
      <c r="AL240" s="0" t="s">
        <v>195</v>
      </c>
    </row>
    <row r="241" customFormat="false" ht="15" hidden="false" customHeight="false" outlineLevel="0" collapsed="false">
      <c r="B241" s="0" t="str">
        <f aca="false">HYPERLINK("https://genome.ucsc.edu/cgi-bin/hgTracks?db=hg19&amp;position=chr22%3A32888970%2D32888970", "chr22:32888970")</f>
        <v>chr22:32888970</v>
      </c>
      <c r="C241" s="0" t="s">
        <v>234</v>
      </c>
      <c r="D241" s="0" t="n">
        <v>32888970</v>
      </c>
      <c r="E241" s="0" t="n">
        <v>32888970</v>
      </c>
      <c r="F241" s="0" t="s">
        <v>72</v>
      </c>
      <c r="G241" s="0" t="s">
        <v>58</v>
      </c>
      <c r="H241" s="0" t="s">
        <v>724</v>
      </c>
      <c r="I241" s="0" t="s">
        <v>493</v>
      </c>
      <c r="J241" s="0" t="s">
        <v>1439</v>
      </c>
      <c r="K241" s="0" t="s">
        <v>46</v>
      </c>
      <c r="L241" s="0" t="str">
        <f aca="false">HYPERLINK("https://www.ncbi.nlm.nih.gov/snp/rs17698872", "rs17698872")</f>
        <v>rs17698872</v>
      </c>
      <c r="M241" s="0" t="str">
        <f aca="false">HYPERLINK("https://www.genecards.org/Search/Keyword?queryString=%5Baliases%5D(%20FBXO7%20)&amp;keywords=FBXO7", "FBXO7")</f>
        <v>FBXO7</v>
      </c>
      <c r="N241" s="0" t="s">
        <v>588</v>
      </c>
      <c r="O241" s="0" t="s">
        <v>46</v>
      </c>
      <c r="P241" s="0" t="s">
        <v>1545</v>
      </c>
      <c r="Q241" s="0" t="n">
        <v>0.0276731</v>
      </c>
      <c r="R241" s="0" t="n">
        <v>0.0232</v>
      </c>
      <c r="S241" s="0" t="n">
        <v>0.024</v>
      </c>
      <c r="T241" s="0" t="n">
        <v>-1</v>
      </c>
      <c r="U241" s="0" t="n">
        <v>0.0181</v>
      </c>
      <c r="V241" s="0" t="s">
        <v>46</v>
      </c>
      <c r="W241" s="0" t="s">
        <v>46</v>
      </c>
      <c r="X241" s="0" t="s">
        <v>49</v>
      </c>
      <c r="Y241" s="0" t="s">
        <v>64</v>
      </c>
      <c r="Z241" s="0" t="s">
        <v>46</v>
      </c>
      <c r="AA241" s="0" t="s">
        <v>46</v>
      </c>
      <c r="AB241" s="0" t="s">
        <v>46</v>
      </c>
      <c r="AC241" s="0" t="s">
        <v>52</v>
      </c>
      <c r="AD241" s="0" t="s">
        <v>53</v>
      </c>
      <c r="AE241" s="0" t="s">
        <v>1546</v>
      </c>
      <c r="AF241" s="0" t="s">
        <v>1547</v>
      </c>
      <c r="AG241" s="0" t="s">
        <v>1548</v>
      </c>
      <c r="AH241" s="0" t="s">
        <v>1549</v>
      </c>
      <c r="AI241" s="0" t="s">
        <v>46</v>
      </c>
      <c r="AJ241" s="0" t="s">
        <v>46</v>
      </c>
      <c r="AK241" s="0" t="s">
        <v>46</v>
      </c>
      <c r="AL241" s="0" t="s">
        <v>46</v>
      </c>
    </row>
    <row r="242" customFormat="false" ht="15" hidden="false" customHeight="false" outlineLevel="0" collapsed="false">
      <c r="B242" s="0" t="str">
        <f aca="false">HYPERLINK("https://genome.ucsc.edu/cgi-bin/hgTracks?db=hg19&amp;position=chr3%3A9490445%2D9490445", "chr3:9490445")</f>
        <v>chr3:9490445</v>
      </c>
      <c r="C242" s="0" t="s">
        <v>381</v>
      </c>
      <c r="D242" s="0" t="n">
        <v>9490445</v>
      </c>
      <c r="E242" s="0" t="n">
        <v>9490445</v>
      </c>
      <c r="F242" s="0" t="s">
        <v>72</v>
      </c>
      <c r="G242" s="0" t="s">
        <v>58</v>
      </c>
      <c r="H242" s="0" t="s">
        <v>1550</v>
      </c>
      <c r="I242" s="0" t="s">
        <v>346</v>
      </c>
      <c r="J242" s="0" t="s">
        <v>655</v>
      </c>
      <c r="K242" s="0" t="s">
        <v>46</v>
      </c>
      <c r="L242" s="0" t="str">
        <f aca="false">HYPERLINK("https://www.ncbi.nlm.nih.gov/snp/rs145249373", "rs145249373")</f>
        <v>rs145249373</v>
      </c>
      <c r="M242" s="0" t="str">
        <f aca="false">HYPERLINK("https://www.genecards.org/Search/Keyword?queryString=%5Baliases%5D(%20SETD5%20)&amp;keywords=SETD5", "SETD5")</f>
        <v>SETD5</v>
      </c>
      <c r="N242" s="0" t="s">
        <v>63</v>
      </c>
      <c r="O242" s="0" t="s">
        <v>46</v>
      </c>
      <c r="P242" s="0" t="s">
        <v>46</v>
      </c>
      <c r="Q242" s="0" t="n">
        <v>0.0074</v>
      </c>
      <c r="R242" s="0" t="n">
        <v>0.0054</v>
      </c>
      <c r="S242" s="0" t="n">
        <v>0.0057</v>
      </c>
      <c r="T242" s="0" t="n">
        <v>-1</v>
      </c>
      <c r="U242" s="0" t="n">
        <v>0.0033</v>
      </c>
      <c r="V242" s="0" t="s">
        <v>46</v>
      </c>
      <c r="W242" s="0" t="s">
        <v>46</v>
      </c>
      <c r="X242" s="0" t="s">
        <v>49</v>
      </c>
      <c r="Y242" s="0" t="s">
        <v>64</v>
      </c>
      <c r="Z242" s="0" t="s">
        <v>46</v>
      </c>
      <c r="AA242" s="0" t="s">
        <v>46</v>
      </c>
      <c r="AB242" s="0" t="s">
        <v>46</v>
      </c>
      <c r="AC242" s="0" t="s">
        <v>52</v>
      </c>
      <c r="AD242" s="0" t="s">
        <v>53</v>
      </c>
      <c r="AE242" s="0" t="s">
        <v>1551</v>
      </c>
      <c r="AF242" s="0" t="s">
        <v>1552</v>
      </c>
      <c r="AG242" s="0" t="s">
        <v>46</v>
      </c>
      <c r="AH242" s="0" t="s">
        <v>1553</v>
      </c>
      <c r="AI242" s="0" t="s">
        <v>46</v>
      </c>
      <c r="AJ242" s="0" t="s">
        <v>46</v>
      </c>
      <c r="AK242" s="0" t="s">
        <v>46</v>
      </c>
      <c r="AL242" s="0" t="s">
        <v>46</v>
      </c>
    </row>
    <row r="243" customFormat="false" ht="15" hidden="false" customHeight="false" outlineLevel="0" collapsed="false">
      <c r="B243" s="0" t="str">
        <f aca="false">HYPERLINK("https://genome.ucsc.edu/cgi-bin/hgTracks?db=hg19&amp;position=chr3%3A10077992%2D10077992", "chr3:10077992")</f>
        <v>chr3:10077992</v>
      </c>
      <c r="C243" s="0" t="s">
        <v>381</v>
      </c>
      <c r="D243" s="0" t="n">
        <v>10077992</v>
      </c>
      <c r="E243" s="0" t="n">
        <v>10077992</v>
      </c>
      <c r="F243" s="0" t="s">
        <v>39</v>
      </c>
      <c r="G243" s="0" t="s">
        <v>312</v>
      </c>
      <c r="H243" s="0" t="s">
        <v>1554</v>
      </c>
      <c r="I243" s="0" t="s">
        <v>266</v>
      </c>
      <c r="J243" s="0" t="s">
        <v>305</v>
      </c>
      <c r="K243" s="0" t="s">
        <v>46</v>
      </c>
      <c r="L243" s="0" t="s">
        <v>46</v>
      </c>
      <c r="M243" s="0" t="str">
        <f aca="false">HYPERLINK("https://www.genecards.org/Search/Keyword?queryString=%5Baliases%5D(%20FANCD2%20)&amp;keywords=FANCD2", "FANCD2")</f>
        <v>FANCD2</v>
      </c>
      <c r="N243" s="0" t="s">
        <v>77</v>
      </c>
      <c r="O243" s="0" t="s">
        <v>623</v>
      </c>
      <c r="P243" s="0" t="s">
        <v>1555</v>
      </c>
      <c r="Q243" s="0" t="n">
        <v>-1</v>
      </c>
      <c r="R243" s="0" t="n">
        <v>-1</v>
      </c>
      <c r="S243" s="0" t="n">
        <v>-1</v>
      </c>
      <c r="T243" s="0" t="n">
        <v>-1</v>
      </c>
      <c r="U243" s="0" t="n">
        <v>-1</v>
      </c>
      <c r="V243" s="0" t="s">
        <v>46</v>
      </c>
      <c r="W243" s="0" t="s">
        <v>46</v>
      </c>
      <c r="X243" s="0" t="s">
        <v>46</v>
      </c>
      <c r="Y243" s="0" t="s">
        <v>46</v>
      </c>
      <c r="Z243" s="0" t="s">
        <v>46</v>
      </c>
      <c r="AA243" s="0" t="s">
        <v>46</v>
      </c>
      <c r="AB243" s="0" t="s">
        <v>46</v>
      </c>
      <c r="AC243" s="0" t="s">
        <v>52</v>
      </c>
      <c r="AD243" s="0" t="s">
        <v>53</v>
      </c>
      <c r="AE243" s="0" t="s">
        <v>1556</v>
      </c>
      <c r="AF243" s="0" t="s">
        <v>1557</v>
      </c>
      <c r="AG243" s="0" t="s">
        <v>1558</v>
      </c>
      <c r="AH243" s="0" t="s">
        <v>1559</v>
      </c>
      <c r="AI243" s="0" t="s">
        <v>46</v>
      </c>
      <c r="AJ243" s="0" t="s">
        <v>46</v>
      </c>
      <c r="AK243" s="0" t="s">
        <v>46</v>
      </c>
      <c r="AL243" s="0" t="s">
        <v>46</v>
      </c>
    </row>
    <row r="244" customFormat="false" ht="15" hidden="false" customHeight="false" outlineLevel="0" collapsed="false">
      <c r="B244" s="0" t="str">
        <f aca="false">HYPERLINK("https://genome.ucsc.edu/cgi-bin/hgTracks?db=hg19&amp;position=chr3%3A49155555%2D49155555", "chr3:49155555")</f>
        <v>chr3:49155555</v>
      </c>
      <c r="C244" s="0" t="s">
        <v>381</v>
      </c>
      <c r="D244" s="0" t="n">
        <v>49155555</v>
      </c>
      <c r="E244" s="0" t="n">
        <v>49155555</v>
      </c>
      <c r="F244" s="0" t="s">
        <v>312</v>
      </c>
      <c r="G244" s="0" t="s">
        <v>72</v>
      </c>
      <c r="H244" s="0" t="s">
        <v>1560</v>
      </c>
      <c r="I244" s="0" t="s">
        <v>692</v>
      </c>
      <c r="J244" s="0" t="s">
        <v>1561</v>
      </c>
      <c r="K244" s="0" t="s">
        <v>46</v>
      </c>
      <c r="L244" s="0" t="str">
        <f aca="false">HYPERLINK("https://www.ncbi.nlm.nih.gov/snp/rs779265044", "rs779265044")</f>
        <v>rs779265044</v>
      </c>
      <c r="M244" s="0" t="str">
        <f aca="false">HYPERLINK("https://www.genecards.org/Search/Keyword?queryString=%5Baliases%5D(%20USP19%20)&amp;keywords=USP19", "USP19")</f>
        <v>USP19</v>
      </c>
      <c r="N244" s="0" t="s">
        <v>45</v>
      </c>
      <c r="O244" s="0" t="s">
        <v>46</v>
      </c>
      <c r="P244" s="0" t="s">
        <v>1562</v>
      </c>
      <c r="Q244" s="0" t="n">
        <v>0.0036</v>
      </c>
      <c r="R244" s="0" t="n">
        <v>0.0016</v>
      </c>
      <c r="S244" s="0" t="n">
        <v>0.0003</v>
      </c>
      <c r="T244" s="0" t="n">
        <v>-1</v>
      </c>
      <c r="U244" s="0" t="n">
        <v>0.0004</v>
      </c>
      <c r="V244" s="0" t="s">
        <v>46</v>
      </c>
      <c r="W244" s="0" t="s">
        <v>46</v>
      </c>
      <c r="X244" s="0" t="s">
        <v>46</v>
      </c>
      <c r="Y244" s="0" t="s">
        <v>46</v>
      </c>
      <c r="Z244" s="0" t="s">
        <v>46</v>
      </c>
      <c r="AA244" s="0" t="s">
        <v>46</v>
      </c>
      <c r="AB244" s="0" t="s">
        <v>46</v>
      </c>
      <c r="AC244" s="0" t="s">
        <v>52</v>
      </c>
      <c r="AD244" s="0" t="s">
        <v>53</v>
      </c>
      <c r="AE244" s="0" t="s">
        <v>1563</v>
      </c>
      <c r="AF244" s="0" t="s">
        <v>1564</v>
      </c>
      <c r="AG244" s="0" t="s">
        <v>1565</v>
      </c>
      <c r="AH244" s="0" t="s">
        <v>46</v>
      </c>
      <c r="AI244" s="0" t="s">
        <v>46</v>
      </c>
      <c r="AJ244" s="0" t="s">
        <v>46</v>
      </c>
      <c r="AK244" s="0" t="s">
        <v>46</v>
      </c>
      <c r="AL244" s="0" t="s">
        <v>46</v>
      </c>
    </row>
    <row r="245" customFormat="false" ht="15" hidden="false" customHeight="false" outlineLevel="0" collapsed="false">
      <c r="B245" s="0" t="str">
        <f aca="false">HYPERLINK("https://genome.ucsc.edu/cgi-bin/hgTracks?db=hg19&amp;position=chr3%3A50098994%2D50098998", "chr3:50098994")</f>
        <v>chr3:50098994</v>
      </c>
      <c r="C245" s="0" t="s">
        <v>381</v>
      </c>
      <c r="D245" s="0" t="n">
        <v>50098994</v>
      </c>
      <c r="E245" s="0" t="n">
        <v>50098998</v>
      </c>
      <c r="F245" s="0" t="s">
        <v>1566</v>
      </c>
      <c r="G245" s="0" t="s">
        <v>312</v>
      </c>
      <c r="H245" s="0" t="s">
        <v>1567</v>
      </c>
      <c r="I245" s="0" t="s">
        <v>615</v>
      </c>
      <c r="J245" s="0" t="s">
        <v>1568</v>
      </c>
      <c r="K245" s="0" t="s">
        <v>46</v>
      </c>
      <c r="L245" s="0" t="str">
        <f aca="false">HYPERLINK("https://www.ncbi.nlm.nih.gov/snp/rs781683355", "rs781683355")</f>
        <v>rs781683355</v>
      </c>
      <c r="M245" s="0" t="str">
        <f aca="false">HYPERLINK("https://www.genecards.org/Search/Keyword?queryString=%5Baliases%5D(%20RBM6%20)&amp;keywords=RBM6", "RBM6")</f>
        <v>RBM6</v>
      </c>
      <c r="N245" s="0" t="s">
        <v>601</v>
      </c>
      <c r="O245" s="0" t="s">
        <v>623</v>
      </c>
      <c r="P245" s="0" t="s">
        <v>1569</v>
      </c>
      <c r="Q245" s="0" t="n">
        <v>0.006617</v>
      </c>
      <c r="R245" s="0" t="n">
        <v>-1</v>
      </c>
      <c r="S245" s="0" t="n">
        <v>-1</v>
      </c>
      <c r="T245" s="0" t="n">
        <v>-1</v>
      </c>
      <c r="U245" s="0" t="n">
        <v>-1</v>
      </c>
      <c r="V245" s="0" t="s">
        <v>46</v>
      </c>
      <c r="W245" s="0" t="s">
        <v>46</v>
      </c>
      <c r="X245" s="0" t="s">
        <v>46</v>
      </c>
      <c r="Y245" s="0" t="s">
        <v>46</v>
      </c>
      <c r="Z245" s="0" t="s">
        <v>46</v>
      </c>
      <c r="AA245" s="0" t="s">
        <v>46</v>
      </c>
      <c r="AB245" s="0" t="s">
        <v>46</v>
      </c>
      <c r="AC245" s="0" t="s">
        <v>319</v>
      </c>
      <c r="AD245" s="0" t="s">
        <v>94</v>
      </c>
      <c r="AE245" s="0" t="s">
        <v>1570</v>
      </c>
      <c r="AF245" s="0" t="s">
        <v>1571</v>
      </c>
      <c r="AG245" s="0" t="s">
        <v>1572</v>
      </c>
      <c r="AH245" s="0" t="s">
        <v>46</v>
      </c>
      <c r="AI245" s="0" t="s">
        <v>46</v>
      </c>
      <c r="AJ245" s="0" t="s">
        <v>46</v>
      </c>
      <c r="AK245" s="0" t="s">
        <v>46</v>
      </c>
      <c r="AL245" s="0" t="s">
        <v>46</v>
      </c>
    </row>
    <row r="246" customFormat="false" ht="15" hidden="false" customHeight="false" outlineLevel="0" collapsed="false">
      <c r="B246" s="0" t="str">
        <f aca="false">HYPERLINK("https://genome.ucsc.edu/cgi-bin/hgTracks?db=hg19&amp;position=chr3%3A50098997%2D50098998", "chr3:50098997")</f>
        <v>chr3:50098997</v>
      </c>
      <c r="C246" s="0" t="s">
        <v>381</v>
      </c>
      <c r="D246" s="0" t="n">
        <v>50098997</v>
      </c>
      <c r="E246" s="0" t="n">
        <v>50098998</v>
      </c>
      <c r="F246" s="0" t="s">
        <v>1452</v>
      </c>
      <c r="G246" s="0" t="s">
        <v>312</v>
      </c>
      <c r="H246" s="0" t="s">
        <v>1567</v>
      </c>
      <c r="I246" s="0" t="s">
        <v>615</v>
      </c>
      <c r="J246" s="0" t="s">
        <v>1568</v>
      </c>
      <c r="K246" s="0" t="s">
        <v>46</v>
      </c>
      <c r="L246" s="0" t="s">
        <v>46</v>
      </c>
      <c r="M246" s="0" t="str">
        <f aca="false">HYPERLINK("https://www.genecards.org/Search/Keyword?queryString=%5Baliases%5D(%20RBM6%20)&amp;keywords=RBM6", "RBM6")</f>
        <v>RBM6</v>
      </c>
      <c r="N246" s="0" t="s">
        <v>601</v>
      </c>
      <c r="O246" s="0" t="s">
        <v>623</v>
      </c>
      <c r="P246" s="0" t="s">
        <v>1573</v>
      </c>
      <c r="Q246" s="0" t="n">
        <v>-1</v>
      </c>
      <c r="R246" s="0" t="n">
        <v>-1</v>
      </c>
      <c r="S246" s="0" t="n">
        <v>-1</v>
      </c>
      <c r="T246" s="0" t="n">
        <v>-1</v>
      </c>
      <c r="U246" s="0" t="n">
        <v>-1</v>
      </c>
      <c r="V246" s="0" t="s">
        <v>46</v>
      </c>
      <c r="W246" s="0" t="s">
        <v>46</v>
      </c>
      <c r="X246" s="0" t="s">
        <v>46</v>
      </c>
      <c r="Y246" s="0" t="s">
        <v>46</v>
      </c>
      <c r="Z246" s="0" t="s">
        <v>46</v>
      </c>
      <c r="AA246" s="0" t="s">
        <v>46</v>
      </c>
      <c r="AB246" s="0" t="s">
        <v>46</v>
      </c>
      <c r="AC246" s="0" t="s">
        <v>319</v>
      </c>
      <c r="AD246" s="0" t="s">
        <v>94</v>
      </c>
      <c r="AE246" s="0" t="s">
        <v>1570</v>
      </c>
      <c r="AF246" s="0" t="s">
        <v>1571</v>
      </c>
      <c r="AG246" s="0" t="s">
        <v>1572</v>
      </c>
      <c r="AH246" s="0" t="s">
        <v>46</v>
      </c>
      <c r="AI246" s="0" t="s">
        <v>46</v>
      </c>
      <c r="AJ246" s="0" t="s">
        <v>46</v>
      </c>
      <c r="AK246" s="0" t="s">
        <v>46</v>
      </c>
      <c r="AL246" s="0" t="s">
        <v>46</v>
      </c>
    </row>
    <row r="247" customFormat="false" ht="15" hidden="false" customHeight="false" outlineLevel="0" collapsed="false">
      <c r="B247" s="0" t="str">
        <f aca="false">HYPERLINK("https://genome.ucsc.edu/cgi-bin/hgTracks?db=hg19&amp;position=chr3%3A53529193%2D53529195", "chr3:53529193")</f>
        <v>chr3:53529193</v>
      </c>
      <c r="C247" s="0" t="s">
        <v>381</v>
      </c>
      <c r="D247" s="0" t="n">
        <v>53529193</v>
      </c>
      <c r="E247" s="0" t="n">
        <v>53529195</v>
      </c>
      <c r="F247" s="0" t="s">
        <v>1574</v>
      </c>
      <c r="G247" s="0" t="s">
        <v>312</v>
      </c>
      <c r="H247" s="0" t="s">
        <v>1575</v>
      </c>
      <c r="I247" s="0" t="s">
        <v>483</v>
      </c>
      <c r="J247" s="0" t="s">
        <v>1576</v>
      </c>
      <c r="K247" s="0" t="s">
        <v>46</v>
      </c>
      <c r="L247" s="0" t="str">
        <f aca="false">HYPERLINK("https://www.ncbi.nlm.nih.gov/snp/rs754722878", "rs754722878")</f>
        <v>rs754722878</v>
      </c>
      <c r="M247" s="0" t="str">
        <f aca="false">HYPERLINK("https://www.genecards.org/Search/Keyword?queryString=%5Baliases%5D(%20CACNA1D%20)&amp;keywords=CACNA1D", "CACNA1D")</f>
        <v>CACNA1D</v>
      </c>
      <c r="N247" s="0" t="s">
        <v>77</v>
      </c>
      <c r="O247" s="0" t="s">
        <v>464</v>
      </c>
      <c r="P247" s="0" t="s">
        <v>1577</v>
      </c>
      <c r="Q247" s="0" t="n">
        <v>0.0012</v>
      </c>
      <c r="R247" s="0" t="n">
        <v>9.188E-005</v>
      </c>
      <c r="S247" s="0" t="n">
        <v>0.0018</v>
      </c>
      <c r="T247" s="0" t="n">
        <v>-1</v>
      </c>
      <c r="U247" s="0" t="n">
        <v>0.0002</v>
      </c>
      <c r="V247" s="0" t="s">
        <v>46</v>
      </c>
      <c r="W247" s="0" t="s">
        <v>46</v>
      </c>
      <c r="X247" s="0" t="s">
        <v>46</v>
      </c>
      <c r="Y247" s="0" t="s">
        <v>46</v>
      </c>
      <c r="Z247" s="0" t="s">
        <v>46</v>
      </c>
      <c r="AA247" s="0" t="s">
        <v>46</v>
      </c>
      <c r="AB247" s="0" t="s">
        <v>46</v>
      </c>
      <c r="AC247" s="0" t="s">
        <v>52</v>
      </c>
      <c r="AD247" s="0" t="s">
        <v>53</v>
      </c>
      <c r="AE247" s="0" t="s">
        <v>1578</v>
      </c>
      <c r="AF247" s="0" t="s">
        <v>1579</v>
      </c>
      <c r="AG247" s="0" t="s">
        <v>1580</v>
      </c>
      <c r="AH247" s="0" t="s">
        <v>1581</v>
      </c>
      <c r="AI247" s="0" t="s">
        <v>46</v>
      </c>
      <c r="AJ247" s="0" t="s">
        <v>46</v>
      </c>
      <c r="AK247" s="0" t="s">
        <v>46</v>
      </c>
      <c r="AL247" s="0" t="s">
        <v>46</v>
      </c>
    </row>
    <row r="248" customFormat="false" ht="15" hidden="false" customHeight="false" outlineLevel="0" collapsed="false">
      <c r="B248" s="0" t="str">
        <f aca="false">HYPERLINK("https://genome.ucsc.edu/cgi-bin/hgTracks?db=hg19&amp;position=chr3%3A57431201%2D57431201", "chr3:57431201")</f>
        <v>chr3:57431201</v>
      </c>
      <c r="C248" s="0" t="s">
        <v>381</v>
      </c>
      <c r="D248" s="0" t="n">
        <v>57431201</v>
      </c>
      <c r="E248" s="0" t="n">
        <v>57431201</v>
      </c>
      <c r="F248" s="0" t="s">
        <v>58</v>
      </c>
      <c r="G248" s="0" t="s">
        <v>40</v>
      </c>
      <c r="H248" s="0" t="s">
        <v>1582</v>
      </c>
      <c r="I248" s="0" t="s">
        <v>599</v>
      </c>
      <c r="J248" s="0" t="s">
        <v>1583</v>
      </c>
      <c r="K248" s="0" t="s">
        <v>46</v>
      </c>
      <c r="L248" s="0" t="str">
        <f aca="false">HYPERLINK("https://www.ncbi.nlm.nih.gov/snp/rs190836158", "rs190836158")</f>
        <v>rs190836158</v>
      </c>
      <c r="M248" s="0" t="str">
        <f aca="false">HYPERLINK("https://www.genecards.org/Search/Keyword?queryString=%5Baliases%5D(%20DNAH12%20)&amp;keywords=DNAH12", "DNAH12")</f>
        <v>DNAH12</v>
      </c>
      <c r="N248" s="0" t="s">
        <v>63</v>
      </c>
      <c r="O248" s="0" t="s">
        <v>46</v>
      </c>
      <c r="P248" s="0" t="s">
        <v>46</v>
      </c>
      <c r="Q248" s="0" t="n">
        <v>0.0138</v>
      </c>
      <c r="R248" s="0" t="n">
        <v>0.0049</v>
      </c>
      <c r="S248" s="0" t="n">
        <v>0.005</v>
      </c>
      <c r="T248" s="0" t="n">
        <v>-1</v>
      </c>
      <c r="U248" s="0" t="n">
        <v>0.0034</v>
      </c>
      <c r="V248" s="0" t="s">
        <v>46</v>
      </c>
      <c r="W248" s="0" t="s">
        <v>46</v>
      </c>
      <c r="X248" s="0" t="s">
        <v>49</v>
      </c>
      <c r="Y248" s="0" t="s">
        <v>64</v>
      </c>
      <c r="Z248" s="0" t="s">
        <v>46</v>
      </c>
      <c r="AA248" s="0" t="s">
        <v>46</v>
      </c>
      <c r="AB248" s="0" t="s">
        <v>46</v>
      </c>
      <c r="AC248" s="0" t="s">
        <v>52</v>
      </c>
      <c r="AD248" s="0" t="s">
        <v>53</v>
      </c>
      <c r="AE248" s="0" t="s">
        <v>1584</v>
      </c>
      <c r="AF248" s="0" t="s">
        <v>1585</v>
      </c>
      <c r="AG248" s="0" t="s">
        <v>1586</v>
      </c>
      <c r="AH248" s="0" t="s">
        <v>46</v>
      </c>
      <c r="AI248" s="0" t="s">
        <v>46</v>
      </c>
      <c r="AJ248" s="0" t="s">
        <v>46</v>
      </c>
      <c r="AK248" s="0" t="s">
        <v>46</v>
      </c>
      <c r="AL248" s="0" t="s">
        <v>46</v>
      </c>
    </row>
    <row r="249" customFormat="false" ht="15" hidden="false" customHeight="false" outlineLevel="0" collapsed="false">
      <c r="B249" s="0" t="str">
        <f aca="false">HYPERLINK("https://genome.ucsc.edu/cgi-bin/hgTracks?db=hg19&amp;position=chr3%3A109031747%2D109031747", "chr3:109031747")</f>
        <v>chr3:109031747</v>
      </c>
      <c r="C249" s="0" t="s">
        <v>381</v>
      </c>
      <c r="D249" s="0" t="n">
        <v>109031747</v>
      </c>
      <c r="E249" s="0" t="n">
        <v>109031747</v>
      </c>
      <c r="F249" s="0" t="s">
        <v>72</v>
      </c>
      <c r="G249" s="0" t="s">
        <v>39</v>
      </c>
      <c r="H249" s="0" t="s">
        <v>757</v>
      </c>
      <c r="I249" s="0" t="s">
        <v>648</v>
      </c>
      <c r="J249" s="0" t="s">
        <v>969</v>
      </c>
      <c r="K249" s="0" t="s">
        <v>46</v>
      </c>
      <c r="L249" s="0" t="str">
        <f aca="false">HYPERLINK("https://www.ncbi.nlm.nih.gov/snp/rs868422832", "rs868422832")</f>
        <v>rs868422832</v>
      </c>
      <c r="M249" s="0" t="str">
        <f aca="false">HYPERLINK("https://www.genecards.org/Search/Keyword?queryString=%5Baliases%5D(%20DPPA2%20)&amp;keywords=DPPA2", "DPPA2")</f>
        <v>DPPA2</v>
      </c>
      <c r="N249" s="0" t="s">
        <v>63</v>
      </c>
      <c r="O249" s="0" t="s">
        <v>46</v>
      </c>
      <c r="P249" s="0" t="s">
        <v>46</v>
      </c>
      <c r="Q249" s="0" t="n">
        <v>0.0034</v>
      </c>
      <c r="R249" s="0" t="n">
        <v>0.0005</v>
      </c>
      <c r="S249" s="0" t="n">
        <v>0.0005</v>
      </c>
      <c r="T249" s="0" t="n">
        <v>-1</v>
      </c>
      <c r="U249" s="0" t="n">
        <v>0.0004</v>
      </c>
      <c r="V249" s="0" t="s">
        <v>46</v>
      </c>
      <c r="W249" s="0" t="s">
        <v>46</v>
      </c>
      <c r="X249" s="0" t="s">
        <v>49</v>
      </c>
      <c r="Y249" s="0" t="s">
        <v>64</v>
      </c>
      <c r="Z249" s="0" t="s">
        <v>46</v>
      </c>
      <c r="AA249" s="0" t="s">
        <v>46</v>
      </c>
      <c r="AB249" s="0" t="s">
        <v>46</v>
      </c>
      <c r="AC249" s="0" t="s">
        <v>52</v>
      </c>
      <c r="AD249" s="0" t="s">
        <v>53</v>
      </c>
      <c r="AE249" s="0" t="s">
        <v>1587</v>
      </c>
      <c r="AF249" s="0" t="s">
        <v>1588</v>
      </c>
      <c r="AG249" s="0" t="s">
        <v>1589</v>
      </c>
      <c r="AH249" s="0" t="s">
        <v>46</v>
      </c>
      <c r="AI249" s="0" t="s">
        <v>46</v>
      </c>
      <c r="AJ249" s="0" t="s">
        <v>46</v>
      </c>
      <c r="AK249" s="0" t="s">
        <v>46</v>
      </c>
      <c r="AL249" s="0" t="s">
        <v>46</v>
      </c>
    </row>
    <row r="250" customFormat="false" ht="15" hidden="false" customHeight="false" outlineLevel="0" collapsed="false">
      <c r="B250" s="0" t="str">
        <f aca="false">HYPERLINK("https://genome.ucsc.edu/cgi-bin/hgTracks?db=hg19&amp;position=chr3%3A112329033%2D112329033", "chr3:112329033")</f>
        <v>chr3:112329033</v>
      </c>
      <c r="C250" s="0" t="s">
        <v>381</v>
      </c>
      <c r="D250" s="0" t="n">
        <v>112329033</v>
      </c>
      <c r="E250" s="0" t="n">
        <v>112329033</v>
      </c>
      <c r="F250" s="0" t="s">
        <v>312</v>
      </c>
      <c r="G250" s="0" t="s">
        <v>72</v>
      </c>
      <c r="H250" s="0" t="s">
        <v>1590</v>
      </c>
      <c r="I250" s="0" t="s">
        <v>42</v>
      </c>
      <c r="J250" s="0" t="s">
        <v>1591</v>
      </c>
      <c r="K250" s="0" t="s">
        <v>46</v>
      </c>
      <c r="L250" s="0" t="str">
        <f aca="false">HYPERLINK("https://www.ncbi.nlm.nih.gov/snp/rs764868321", "rs764868321")</f>
        <v>rs764868321</v>
      </c>
      <c r="M250" s="0" t="str">
        <f aca="false">HYPERLINK("https://www.genecards.org/Search/Keyword?queryString=%5Baliases%5D(%20CCDC80%20)&amp;keywords=CCDC80", "CCDC80")</f>
        <v>CCDC80</v>
      </c>
      <c r="N250" s="0" t="s">
        <v>601</v>
      </c>
      <c r="O250" s="0" t="s">
        <v>357</v>
      </c>
      <c r="P250" s="0" t="s">
        <v>1592</v>
      </c>
      <c r="Q250" s="0" t="n">
        <v>0.0132</v>
      </c>
      <c r="R250" s="0" t="n">
        <v>0.0095</v>
      </c>
      <c r="S250" s="0" t="n">
        <v>0.0024</v>
      </c>
      <c r="T250" s="0" t="n">
        <v>-1</v>
      </c>
      <c r="U250" s="0" t="n">
        <v>0.0085</v>
      </c>
      <c r="V250" s="0" t="s">
        <v>46</v>
      </c>
      <c r="W250" s="0" t="s">
        <v>46</v>
      </c>
      <c r="X250" s="0" t="s">
        <v>46</v>
      </c>
      <c r="Y250" s="0" t="s">
        <v>46</v>
      </c>
      <c r="Z250" s="0" t="s">
        <v>46</v>
      </c>
      <c r="AA250" s="0" t="s">
        <v>46</v>
      </c>
      <c r="AB250" s="0" t="s">
        <v>46</v>
      </c>
      <c r="AC250" s="0" t="s">
        <v>52</v>
      </c>
      <c r="AD250" s="0" t="s">
        <v>53</v>
      </c>
      <c r="AE250" s="0" t="s">
        <v>1593</v>
      </c>
      <c r="AF250" s="0" t="s">
        <v>1594</v>
      </c>
      <c r="AG250" s="0" t="s">
        <v>1595</v>
      </c>
      <c r="AH250" s="0" t="s">
        <v>46</v>
      </c>
      <c r="AI250" s="0" t="s">
        <v>46</v>
      </c>
      <c r="AJ250" s="0" t="s">
        <v>46</v>
      </c>
      <c r="AK250" s="0" t="s">
        <v>46</v>
      </c>
      <c r="AL250" s="0" t="s">
        <v>46</v>
      </c>
    </row>
    <row r="251" customFormat="false" ht="15" hidden="false" customHeight="false" outlineLevel="0" collapsed="false">
      <c r="B251" s="0" t="str">
        <f aca="false">HYPERLINK("https://genome.ucsc.edu/cgi-bin/hgTracks?db=hg19&amp;position=chr3%3A130284459%2D130284459", "chr3:130284459")</f>
        <v>chr3:130284459</v>
      </c>
      <c r="C251" s="0" t="s">
        <v>381</v>
      </c>
      <c r="D251" s="0" t="n">
        <v>130284459</v>
      </c>
      <c r="E251" s="0" t="n">
        <v>130284459</v>
      </c>
      <c r="F251" s="0" t="s">
        <v>58</v>
      </c>
      <c r="G251" s="0" t="s">
        <v>40</v>
      </c>
      <c r="H251" s="0" t="s">
        <v>1596</v>
      </c>
      <c r="I251" s="0" t="s">
        <v>257</v>
      </c>
      <c r="J251" s="0" t="s">
        <v>1597</v>
      </c>
      <c r="K251" s="0" t="s">
        <v>46</v>
      </c>
      <c r="L251" s="0" t="str">
        <f aca="false">HYPERLINK("https://www.ncbi.nlm.nih.gov/snp/rs200519575", "rs200519575")</f>
        <v>rs200519575</v>
      </c>
      <c r="M251" s="0" t="str">
        <f aca="false">HYPERLINK("https://www.genecards.org/Search/Keyword?queryString=%5Baliases%5D(%20COL6A6%20)&amp;keywords=COL6A6", "COL6A6")</f>
        <v>COL6A6</v>
      </c>
      <c r="N251" s="0" t="s">
        <v>45</v>
      </c>
      <c r="O251" s="0" t="s">
        <v>46</v>
      </c>
      <c r="P251" s="0" t="s">
        <v>1598</v>
      </c>
      <c r="Q251" s="0" t="n">
        <v>0.0025</v>
      </c>
      <c r="R251" s="0" t="n">
        <v>0.0032</v>
      </c>
      <c r="S251" s="0" t="n">
        <v>0.0028</v>
      </c>
      <c r="T251" s="0" t="n">
        <v>-1</v>
      </c>
      <c r="U251" s="0" t="n">
        <v>0.0056</v>
      </c>
      <c r="V251" s="0" t="s">
        <v>48</v>
      </c>
      <c r="W251" s="0" t="s">
        <v>49</v>
      </c>
      <c r="X251" s="0" t="s">
        <v>49</v>
      </c>
      <c r="Y251" s="0" t="s">
        <v>50</v>
      </c>
      <c r="Z251" s="0" t="s">
        <v>92</v>
      </c>
      <c r="AA251" s="0" t="s">
        <v>46</v>
      </c>
      <c r="AB251" s="0" t="s">
        <v>46</v>
      </c>
      <c r="AC251" s="0" t="s">
        <v>52</v>
      </c>
      <c r="AD251" s="0" t="s">
        <v>53</v>
      </c>
      <c r="AE251" s="0" t="s">
        <v>1599</v>
      </c>
      <c r="AF251" s="0" t="s">
        <v>1600</v>
      </c>
      <c r="AG251" s="0" t="s">
        <v>1601</v>
      </c>
      <c r="AH251" s="0" t="s">
        <v>46</v>
      </c>
      <c r="AI251" s="0" t="s">
        <v>46</v>
      </c>
      <c r="AJ251" s="0" t="s">
        <v>46</v>
      </c>
      <c r="AK251" s="0" t="s">
        <v>46</v>
      </c>
      <c r="AL251" s="0" t="s">
        <v>46</v>
      </c>
    </row>
    <row r="252" customFormat="false" ht="15" hidden="false" customHeight="false" outlineLevel="0" collapsed="false">
      <c r="B252" s="0" t="str">
        <f aca="false">HYPERLINK("https://genome.ucsc.edu/cgi-bin/hgTracks?db=hg19&amp;position=chr3%3A130733046%2D130733046", "chr3:130733046")</f>
        <v>chr3:130733046</v>
      </c>
      <c r="C252" s="0" t="s">
        <v>381</v>
      </c>
      <c r="D252" s="0" t="n">
        <v>130733046</v>
      </c>
      <c r="E252" s="0" t="n">
        <v>130733046</v>
      </c>
      <c r="F252" s="0" t="s">
        <v>312</v>
      </c>
      <c r="G252" s="0" t="s">
        <v>39</v>
      </c>
      <c r="H252" s="0" t="s">
        <v>1602</v>
      </c>
      <c r="I252" s="0" t="s">
        <v>400</v>
      </c>
      <c r="J252" s="0" t="s">
        <v>1603</v>
      </c>
      <c r="K252" s="0" t="s">
        <v>46</v>
      </c>
      <c r="L252" s="0" t="str">
        <f aca="false">HYPERLINK("https://www.ncbi.nlm.nih.gov/snp/rs765255269", "rs765255269")</f>
        <v>rs765255269</v>
      </c>
      <c r="M252" s="0" t="str">
        <f aca="false">HYPERLINK("https://www.genecards.org/Search/Keyword?queryString=%5Baliases%5D(%20ASTE1%20)&amp;keywords=ASTE1", "ASTE1")</f>
        <v>ASTE1</v>
      </c>
      <c r="N252" s="0" t="s">
        <v>77</v>
      </c>
      <c r="O252" s="0" t="s">
        <v>357</v>
      </c>
      <c r="P252" s="0" t="s">
        <v>1604</v>
      </c>
      <c r="Q252" s="0" t="n">
        <v>0.0056</v>
      </c>
      <c r="R252" s="0" t="n">
        <v>0.006</v>
      </c>
      <c r="S252" s="0" t="n">
        <v>0.0025</v>
      </c>
      <c r="T252" s="0" t="n">
        <v>-1</v>
      </c>
      <c r="U252" s="0" t="n">
        <v>0.0098</v>
      </c>
      <c r="V252" s="0" t="s">
        <v>46</v>
      </c>
      <c r="W252" s="0" t="s">
        <v>46</v>
      </c>
      <c r="X252" s="0" t="s">
        <v>46</v>
      </c>
      <c r="Y252" s="0" t="s">
        <v>46</v>
      </c>
      <c r="Z252" s="0" t="s">
        <v>46</v>
      </c>
      <c r="AA252" s="0" t="s">
        <v>46</v>
      </c>
      <c r="AB252" s="0" t="s">
        <v>46</v>
      </c>
      <c r="AC252" s="0" t="s">
        <v>52</v>
      </c>
      <c r="AD252" s="0" t="s">
        <v>53</v>
      </c>
      <c r="AE252" s="0" t="s">
        <v>1605</v>
      </c>
      <c r="AF252" s="0" t="s">
        <v>1606</v>
      </c>
      <c r="AG252" s="0" t="s">
        <v>1607</v>
      </c>
      <c r="AH252" s="0" t="s">
        <v>46</v>
      </c>
      <c r="AI252" s="0" t="s">
        <v>46</v>
      </c>
      <c r="AJ252" s="0" t="s">
        <v>46</v>
      </c>
      <c r="AK252" s="0" t="s">
        <v>46</v>
      </c>
      <c r="AL252" s="0" t="s">
        <v>46</v>
      </c>
    </row>
    <row r="253" customFormat="false" ht="15" hidden="false" customHeight="false" outlineLevel="0" collapsed="false">
      <c r="B253" s="0" t="str">
        <f aca="false">HYPERLINK("https://genome.ucsc.edu/cgi-bin/hgTracks?db=hg19&amp;position=chr3%3A142170590%2D142170590", "chr3:142170590")</f>
        <v>chr3:142170590</v>
      </c>
      <c r="C253" s="0" t="s">
        <v>381</v>
      </c>
      <c r="D253" s="0" t="n">
        <v>142170590</v>
      </c>
      <c r="E253" s="0" t="n">
        <v>142170590</v>
      </c>
      <c r="F253" s="0" t="s">
        <v>312</v>
      </c>
      <c r="G253" s="0" t="s">
        <v>72</v>
      </c>
      <c r="H253" s="0" t="s">
        <v>1608</v>
      </c>
      <c r="I253" s="0" t="s">
        <v>1418</v>
      </c>
      <c r="J253" s="0" t="s">
        <v>1609</v>
      </c>
      <c r="K253" s="0" t="s">
        <v>46</v>
      </c>
      <c r="L253" s="0" t="str">
        <f aca="false">HYPERLINK("https://www.ncbi.nlm.nih.gov/snp/rs201772557", "rs201772557")</f>
        <v>rs201772557</v>
      </c>
      <c r="M253" s="0" t="str">
        <f aca="false">HYPERLINK("https://www.genecards.org/Search/Keyword?queryString=%5Baliases%5D(%20ATR%20)&amp;keywords=ATR", "ATR")</f>
        <v>ATR</v>
      </c>
      <c r="N253" s="0" t="s">
        <v>1610</v>
      </c>
      <c r="O253" s="0" t="s">
        <v>46</v>
      </c>
      <c r="P253" s="0" t="s">
        <v>1611</v>
      </c>
      <c r="Q253" s="0" t="n">
        <v>0.0113</v>
      </c>
      <c r="R253" s="0" t="n">
        <v>0.007</v>
      </c>
      <c r="S253" s="0" t="n">
        <v>0.0058</v>
      </c>
      <c r="T253" s="0" t="n">
        <v>-1</v>
      </c>
      <c r="U253" s="0" t="n">
        <v>0.0101</v>
      </c>
      <c r="V253" s="0" t="s">
        <v>46</v>
      </c>
      <c r="W253" s="0" t="s">
        <v>46</v>
      </c>
      <c r="X253" s="0" t="s">
        <v>46</v>
      </c>
      <c r="Y253" s="0" t="s">
        <v>46</v>
      </c>
      <c r="Z253" s="0" t="s">
        <v>46</v>
      </c>
      <c r="AA253" s="0" t="s">
        <v>46</v>
      </c>
      <c r="AB253" s="0" t="s">
        <v>46</v>
      </c>
      <c r="AC253" s="0" t="s">
        <v>52</v>
      </c>
      <c r="AD253" s="0" t="s">
        <v>412</v>
      </c>
      <c r="AE253" s="0" t="s">
        <v>1612</v>
      </c>
      <c r="AF253" s="0" t="s">
        <v>1613</v>
      </c>
      <c r="AG253" s="0" t="s">
        <v>1614</v>
      </c>
      <c r="AH253" s="0" t="s">
        <v>1615</v>
      </c>
      <c r="AI253" s="0" t="s">
        <v>46</v>
      </c>
      <c r="AJ253" s="0" t="s">
        <v>46</v>
      </c>
      <c r="AK253" s="0" t="s">
        <v>46</v>
      </c>
      <c r="AL253" s="0" t="s">
        <v>46</v>
      </c>
    </row>
    <row r="254" customFormat="false" ht="15" hidden="false" customHeight="false" outlineLevel="0" collapsed="false">
      <c r="B254" s="0" t="str">
        <f aca="false">HYPERLINK("https://genome.ucsc.edu/cgi-bin/hgTracks?db=hg19&amp;position=chr3%3A142170600%2D142170600", "chr3:142170600")</f>
        <v>chr3:142170600</v>
      </c>
      <c r="C254" s="0" t="s">
        <v>381</v>
      </c>
      <c r="D254" s="0" t="n">
        <v>142170600</v>
      </c>
      <c r="E254" s="0" t="n">
        <v>142170600</v>
      </c>
      <c r="F254" s="0" t="s">
        <v>40</v>
      </c>
      <c r="G254" s="0" t="s">
        <v>312</v>
      </c>
      <c r="H254" s="0" t="s">
        <v>1616</v>
      </c>
      <c r="I254" s="0" t="s">
        <v>1418</v>
      </c>
      <c r="J254" s="0" t="s">
        <v>1609</v>
      </c>
      <c r="K254" s="0" t="s">
        <v>46</v>
      </c>
      <c r="L254" s="0" t="str">
        <f aca="false">HYPERLINK("https://www.ncbi.nlm.nih.gov/snp/rs766238891", "rs766238891")</f>
        <v>rs766238891</v>
      </c>
      <c r="M254" s="0" t="str">
        <f aca="false">HYPERLINK("https://www.genecards.org/Search/Keyword?queryString=%5Baliases%5D(%20ATR%20)&amp;keywords=ATR", "ATR")</f>
        <v>ATR</v>
      </c>
      <c r="N254" s="0" t="s">
        <v>1610</v>
      </c>
      <c r="O254" s="0" t="s">
        <v>46</v>
      </c>
      <c r="P254" s="0" t="s">
        <v>1617</v>
      </c>
      <c r="Q254" s="0" t="n">
        <v>0.0027</v>
      </c>
      <c r="R254" s="0" t="n">
        <v>0.0013</v>
      </c>
      <c r="S254" s="0" t="n">
        <v>0.0013</v>
      </c>
      <c r="T254" s="0" t="n">
        <v>-1</v>
      </c>
      <c r="U254" s="0" t="n">
        <v>0.0011</v>
      </c>
      <c r="V254" s="0" t="s">
        <v>46</v>
      </c>
      <c r="W254" s="0" t="s">
        <v>46</v>
      </c>
      <c r="X254" s="0" t="s">
        <v>46</v>
      </c>
      <c r="Y254" s="0" t="s">
        <v>46</v>
      </c>
      <c r="Z254" s="0" t="s">
        <v>46</v>
      </c>
      <c r="AA254" s="0" t="s">
        <v>46</v>
      </c>
      <c r="AB254" s="0" t="s">
        <v>46</v>
      </c>
      <c r="AC254" s="0" t="s">
        <v>52</v>
      </c>
      <c r="AD254" s="0" t="s">
        <v>412</v>
      </c>
      <c r="AE254" s="0" t="s">
        <v>1612</v>
      </c>
      <c r="AF254" s="0" t="s">
        <v>1613</v>
      </c>
      <c r="AG254" s="0" t="s">
        <v>1614</v>
      </c>
      <c r="AH254" s="0" t="s">
        <v>1615</v>
      </c>
      <c r="AI254" s="0" t="s">
        <v>46</v>
      </c>
      <c r="AJ254" s="0" t="s">
        <v>46</v>
      </c>
      <c r="AK254" s="0" t="s">
        <v>46</v>
      </c>
      <c r="AL254" s="0" t="s">
        <v>46</v>
      </c>
    </row>
    <row r="255" customFormat="false" ht="15" hidden="false" customHeight="false" outlineLevel="0" collapsed="false">
      <c r="B255" s="0" t="str">
        <f aca="false">HYPERLINK("https://genome.ucsc.edu/cgi-bin/hgTracks?db=hg19&amp;position=chr3%3A142170600%2D142170600", "chr3:142170600")</f>
        <v>chr3:142170600</v>
      </c>
      <c r="C255" s="0" t="s">
        <v>381</v>
      </c>
      <c r="D255" s="0" t="n">
        <v>142170600</v>
      </c>
      <c r="E255" s="0" t="n">
        <v>142170600</v>
      </c>
      <c r="F255" s="0" t="s">
        <v>40</v>
      </c>
      <c r="G255" s="0" t="s">
        <v>1618</v>
      </c>
      <c r="H255" s="0" t="s">
        <v>1619</v>
      </c>
      <c r="I255" s="0" t="s">
        <v>1418</v>
      </c>
      <c r="J255" s="0" t="s">
        <v>1620</v>
      </c>
      <c r="K255" s="0" t="s">
        <v>46</v>
      </c>
      <c r="L255" s="0" t="s">
        <v>46</v>
      </c>
      <c r="M255" s="0" t="str">
        <f aca="false">HYPERLINK("https://www.genecards.org/Search/Keyword?queryString=%5Baliases%5D(%20ATR%20)&amp;keywords=ATR", "ATR")</f>
        <v>ATR</v>
      </c>
      <c r="N255" s="0" t="s">
        <v>1610</v>
      </c>
      <c r="O255" s="0" t="s">
        <v>46</v>
      </c>
      <c r="P255" s="0" t="s">
        <v>1621</v>
      </c>
      <c r="Q255" s="0" t="n">
        <v>-1</v>
      </c>
      <c r="R255" s="0" t="n">
        <v>-1</v>
      </c>
      <c r="S255" s="0" t="n">
        <v>-1</v>
      </c>
      <c r="T255" s="0" t="n">
        <v>-1</v>
      </c>
      <c r="U255" s="0" t="n">
        <v>-1</v>
      </c>
      <c r="V255" s="0" t="s">
        <v>46</v>
      </c>
      <c r="W255" s="0" t="s">
        <v>46</v>
      </c>
      <c r="X255" s="0" t="s">
        <v>46</v>
      </c>
      <c r="Y255" s="0" t="s">
        <v>46</v>
      </c>
      <c r="Z255" s="0" t="s">
        <v>46</v>
      </c>
      <c r="AA255" s="0" t="s">
        <v>46</v>
      </c>
      <c r="AB255" s="0" t="s">
        <v>46</v>
      </c>
      <c r="AC255" s="0" t="s">
        <v>319</v>
      </c>
      <c r="AD255" s="0" t="s">
        <v>412</v>
      </c>
      <c r="AE255" s="0" t="s">
        <v>1612</v>
      </c>
      <c r="AF255" s="0" t="s">
        <v>1613</v>
      </c>
      <c r="AG255" s="0" t="s">
        <v>1614</v>
      </c>
      <c r="AH255" s="0" t="s">
        <v>1615</v>
      </c>
      <c r="AI255" s="0" t="s">
        <v>46</v>
      </c>
      <c r="AJ255" s="0" t="s">
        <v>46</v>
      </c>
      <c r="AK255" s="0" t="s">
        <v>46</v>
      </c>
      <c r="AL255" s="0" t="s">
        <v>46</v>
      </c>
    </row>
    <row r="256" customFormat="false" ht="15" hidden="false" customHeight="false" outlineLevel="0" collapsed="false">
      <c r="B256" s="0" t="str">
        <f aca="false">HYPERLINK("https://genome.ucsc.edu/cgi-bin/hgTracks?db=hg19&amp;position=chr3%3A142215153%2D142215153", "chr3:142215153")</f>
        <v>chr3:142215153</v>
      </c>
      <c r="C256" s="0" t="s">
        <v>381</v>
      </c>
      <c r="D256" s="0" t="n">
        <v>142215153</v>
      </c>
      <c r="E256" s="0" t="n">
        <v>142215153</v>
      </c>
      <c r="F256" s="0" t="s">
        <v>39</v>
      </c>
      <c r="G256" s="0" t="s">
        <v>40</v>
      </c>
      <c r="H256" s="0" t="s">
        <v>1622</v>
      </c>
      <c r="I256" s="0" t="s">
        <v>819</v>
      </c>
      <c r="J256" s="0" t="s">
        <v>1623</v>
      </c>
      <c r="K256" s="0" t="s">
        <v>46</v>
      </c>
      <c r="L256" s="0" t="str">
        <f aca="false">HYPERLINK("https://www.ncbi.nlm.nih.gov/snp/rs760822510", "rs760822510")</f>
        <v>rs760822510</v>
      </c>
      <c r="M256" s="0" t="str">
        <f aca="false">HYPERLINK("https://www.genecards.org/Search/Keyword?queryString=%5Baliases%5D(%20ATR%20)&amp;keywords=ATR", "ATR")</f>
        <v>ATR</v>
      </c>
      <c r="N256" s="0" t="s">
        <v>63</v>
      </c>
      <c r="O256" s="0" t="s">
        <v>46</v>
      </c>
      <c r="P256" s="0" t="s">
        <v>46</v>
      </c>
      <c r="Q256" s="0" t="n">
        <v>0.0011</v>
      </c>
      <c r="R256" s="0" t="n">
        <v>0.0006</v>
      </c>
      <c r="S256" s="0" t="n">
        <v>0.0008</v>
      </c>
      <c r="T256" s="0" t="n">
        <v>-1</v>
      </c>
      <c r="U256" s="0" t="n">
        <v>-1</v>
      </c>
      <c r="V256" s="0" t="s">
        <v>46</v>
      </c>
      <c r="W256" s="0" t="s">
        <v>46</v>
      </c>
      <c r="X256" s="0" t="s">
        <v>385</v>
      </c>
      <c r="Y256" s="0" t="s">
        <v>64</v>
      </c>
      <c r="Z256" s="0" t="s">
        <v>46</v>
      </c>
      <c r="AA256" s="0" t="s">
        <v>46</v>
      </c>
      <c r="AB256" s="0" t="s">
        <v>46</v>
      </c>
      <c r="AC256" s="0" t="s">
        <v>52</v>
      </c>
      <c r="AD256" s="0" t="s">
        <v>412</v>
      </c>
      <c r="AE256" s="0" t="s">
        <v>1612</v>
      </c>
      <c r="AF256" s="0" t="s">
        <v>1613</v>
      </c>
      <c r="AG256" s="0" t="s">
        <v>1614</v>
      </c>
      <c r="AH256" s="0" t="s">
        <v>1615</v>
      </c>
      <c r="AI256" s="0" t="s">
        <v>46</v>
      </c>
      <c r="AJ256" s="0" t="s">
        <v>46</v>
      </c>
      <c r="AK256" s="0" t="s">
        <v>46</v>
      </c>
      <c r="AL256" s="0" t="s">
        <v>46</v>
      </c>
    </row>
    <row r="257" customFormat="false" ht="15" hidden="false" customHeight="false" outlineLevel="0" collapsed="false">
      <c r="B257" s="0" t="str">
        <f aca="false">HYPERLINK("https://genome.ucsc.edu/cgi-bin/hgTracks?db=hg19&amp;position=chr3%3A182681986%2D182681986", "chr3:182681986")</f>
        <v>chr3:182681986</v>
      </c>
      <c r="C257" s="0" t="s">
        <v>381</v>
      </c>
      <c r="D257" s="0" t="n">
        <v>182681986</v>
      </c>
      <c r="E257" s="0" t="n">
        <v>182681986</v>
      </c>
      <c r="F257" s="0" t="s">
        <v>39</v>
      </c>
      <c r="G257" s="0" t="s">
        <v>40</v>
      </c>
      <c r="H257" s="0" t="s">
        <v>1624</v>
      </c>
      <c r="I257" s="0" t="s">
        <v>819</v>
      </c>
      <c r="J257" s="0" t="s">
        <v>1625</v>
      </c>
      <c r="K257" s="0" t="s">
        <v>46</v>
      </c>
      <c r="L257" s="0" t="str">
        <f aca="false">HYPERLINK("https://www.ncbi.nlm.nih.gov/snp/rs959349347", "rs959349347")</f>
        <v>rs959349347</v>
      </c>
      <c r="M257" s="0" t="str">
        <f aca="false">HYPERLINK("https://www.genecards.org/Search/Keyword?queryString=%5Baliases%5D(%20DCUN1D1%20)&amp;keywords=DCUN1D1", "DCUN1D1")</f>
        <v>DCUN1D1</v>
      </c>
      <c r="N257" s="0" t="s">
        <v>63</v>
      </c>
      <c r="O257" s="0" t="s">
        <v>46</v>
      </c>
      <c r="P257" s="0" t="s">
        <v>46</v>
      </c>
      <c r="Q257" s="0" t="n">
        <v>0.0002</v>
      </c>
      <c r="R257" s="0" t="n">
        <v>0.0003</v>
      </c>
      <c r="S257" s="0" t="n">
        <v>0.0001</v>
      </c>
      <c r="T257" s="0" t="n">
        <v>-1</v>
      </c>
      <c r="U257" s="0" t="n">
        <v>-1</v>
      </c>
      <c r="V257" s="0" t="s">
        <v>46</v>
      </c>
      <c r="W257" s="0" t="s">
        <v>46</v>
      </c>
      <c r="X257" s="0" t="s">
        <v>49</v>
      </c>
      <c r="Y257" s="0" t="s">
        <v>64</v>
      </c>
      <c r="Z257" s="0" t="s">
        <v>46</v>
      </c>
      <c r="AA257" s="0" t="s">
        <v>46</v>
      </c>
      <c r="AB257" s="0" t="s">
        <v>46</v>
      </c>
      <c r="AC257" s="0" t="s">
        <v>52</v>
      </c>
      <c r="AD257" s="0" t="s">
        <v>53</v>
      </c>
      <c r="AE257" s="0" t="s">
        <v>1626</v>
      </c>
      <c r="AF257" s="0" t="s">
        <v>1627</v>
      </c>
      <c r="AG257" s="0" t="s">
        <v>1628</v>
      </c>
      <c r="AH257" s="0" t="s">
        <v>46</v>
      </c>
      <c r="AI257" s="0" t="s">
        <v>46</v>
      </c>
      <c r="AJ257" s="0" t="s">
        <v>46</v>
      </c>
      <c r="AK257" s="0" t="s">
        <v>46</v>
      </c>
      <c r="AL257" s="0" t="s">
        <v>46</v>
      </c>
    </row>
    <row r="258" customFormat="false" ht="15" hidden="false" customHeight="false" outlineLevel="0" collapsed="false">
      <c r="B258" s="0" t="str">
        <f aca="false">HYPERLINK("https://genome.ucsc.edu/cgi-bin/hgTracks?db=hg19&amp;position=chr3%3A192973579%2D192973579", "chr3:192973579")</f>
        <v>chr3:192973579</v>
      </c>
      <c r="C258" s="0" t="s">
        <v>381</v>
      </c>
      <c r="D258" s="0" t="n">
        <v>192973579</v>
      </c>
      <c r="E258" s="0" t="n">
        <v>192973579</v>
      </c>
      <c r="F258" s="0" t="s">
        <v>58</v>
      </c>
      <c r="G258" s="0" t="s">
        <v>72</v>
      </c>
      <c r="H258" s="0" t="s">
        <v>1629</v>
      </c>
      <c r="I258" s="0" t="s">
        <v>1498</v>
      </c>
      <c r="J258" s="0" t="s">
        <v>1630</v>
      </c>
      <c r="K258" s="0" t="s">
        <v>46</v>
      </c>
      <c r="L258" s="0" t="str">
        <f aca="false">HYPERLINK("https://www.ncbi.nlm.nih.gov/snp/rs116653160", "rs116653160")</f>
        <v>rs116653160</v>
      </c>
      <c r="M258" s="0" t="str">
        <f aca="false">HYPERLINK("https://www.genecards.org/Search/Keyword?queryString=%5Baliases%5D(%20HRASLS%20)%20OR%20%5Baliases%5D(%20PLAAT1%20)&amp;keywords=HRASLS,PLAAT1", "HRASLS;PLAAT1")</f>
        <v>HRASLS;PLAAT1</v>
      </c>
      <c r="N258" s="0" t="s">
        <v>45</v>
      </c>
      <c r="O258" s="0" t="s">
        <v>46</v>
      </c>
      <c r="P258" s="0" t="s">
        <v>1631</v>
      </c>
      <c r="Q258" s="0" t="n">
        <v>0.005</v>
      </c>
      <c r="R258" s="0" t="n">
        <v>0.0025</v>
      </c>
      <c r="S258" s="0" t="n">
        <v>0.0036</v>
      </c>
      <c r="T258" s="0" t="n">
        <v>-1</v>
      </c>
      <c r="U258" s="0" t="n">
        <v>0.0041</v>
      </c>
      <c r="V258" s="0" t="s">
        <v>48</v>
      </c>
      <c r="W258" s="0" t="s">
        <v>49</v>
      </c>
      <c r="X258" s="0" t="s">
        <v>49</v>
      </c>
      <c r="Y258" s="0" t="s">
        <v>50</v>
      </c>
      <c r="Z258" s="0" t="s">
        <v>250</v>
      </c>
      <c r="AA258" s="0" t="s">
        <v>46</v>
      </c>
      <c r="AB258" s="0" t="s">
        <v>46</v>
      </c>
      <c r="AC258" s="0" t="s">
        <v>52</v>
      </c>
      <c r="AD258" s="0" t="s">
        <v>182</v>
      </c>
      <c r="AE258" s="0" t="s">
        <v>1632</v>
      </c>
      <c r="AF258" s="0" t="s">
        <v>1633</v>
      </c>
      <c r="AG258" s="0" t="s">
        <v>1634</v>
      </c>
      <c r="AH258" s="0" t="s">
        <v>46</v>
      </c>
      <c r="AI258" s="0" t="s">
        <v>46</v>
      </c>
      <c r="AJ258" s="0" t="s">
        <v>46</v>
      </c>
      <c r="AK258" s="0" t="s">
        <v>46</v>
      </c>
      <c r="AL258" s="0" t="s">
        <v>46</v>
      </c>
    </row>
    <row r="259" customFormat="false" ht="15" hidden="false" customHeight="false" outlineLevel="0" collapsed="false">
      <c r="B259" s="0" t="str">
        <f aca="false">HYPERLINK("https://genome.ucsc.edu/cgi-bin/hgTracks?db=hg19&amp;position=chr3%3A193272445%2D193272448", "chr3:193272445")</f>
        <v>chr3:193272445</v>
      </c>
      <c r="C259" s="0" t="s">
        <v>381</v>
      </c>
      <c r="D259" s="0" t="n">
        <v>193272445</v>
      </c>
      <c r="E259" s="0" t="n">
        <v>193272448</v>
      </c>
      <c r="F259" s="0" t="s">
        <v>1635</v>
      </c>
      <c r="G259" s="0" t="s">
        <v>312</v>
      </c>
      <c r="H259" s="0" t="s">
        <v>1636</v>
      </c>
      <c r="I259" s="0" t="s">
        <v>1637</v>
      </c>
      <c r="J259" s="0" t="s">
        <v>1638</v>
      </c>
      <c r="K259" s="0" t="s">
        <v>46</v>
      </c>
      <c r="L259" s="0" t="s">
        <v>46</v>
      </c>
      <c r="M259" s="0" t="str">
        <f aca="false">HYPERLINK("https://www.genecards.org/Search/Keyword?queryString=%5Baliases%5D(%20ATP13A4%20)%20OR%20%5Baliases%5D(%20ATP13A4-AS1%20)&amp;keywords=ATP13A4,ATP13A4-AS1", "ATP13A4;ATP13A4-AS1")</f>
        <v>ATP13A4;ATP13A4-AS1</v>
      </c>
      <c r="N259" s="0" t="s">
        <v>609</v>
      </c>
      <c r="O259" s="0" t="s">
        <v>46</v>
      </c>
      <c r="P259" s="0" t="s">
        <v>46</v>
      </c>
      <c r="Q259" s="0" t="n">
        <v>-1</v>
      </c>
      <c r="R259" s="0" t="n">
        <v>-1</v>
      </c>
      <c r="S259" s="0" t="n">
        <v>-1</v>
      </c>
      <c r="T259" s="0" t="n">
        <v>-1</v>
      </c>
      <c r="U259" s="0" t="n">
        <v>-1</v>
      </c>
      <c r="V259" s="0" t="s">
        <v>46</v>
      </c>
      <c r="W259" s="0" t="s">
        <v>46</v>
      </c>
      <c r="X259" s="0" t="s">
        <v>46</v>
      </c>
      <c r="Y259" s="0" t="s">
        <v>46</v>
      </c>
      <c r="Z259" s="0" t="s">
        <v>46</v>
      </c>
      <c r="AA259" s="0" t="s">
        <v>46</v>
      </c>
      <c r="AB259" s="0" t="s">
        <v>46</v>
      </c>
      <c r="AC259" s="0" t="s">
        <v>319</v>
      </c>
      <c r="AD259" s="0" t="s">
        <v>182</v>
      </c>
      <c r="AE259" s="0" t="s">
        <v>1639</v>
      </c>
      <c r="AF259" s="0" t="s">
        <v>1640</v>
      </c>
      <c r="AG259" s="0" t="s">
        <v>46</v>
      </c>
      <c r="AH259" s="0" t="s">
        <v>1641</v>
      </c>
      <c r="AI259" s="0" t="s">
        <v>46</v>
      </c>
      <c r="AJ259" s="0" t="s">
        <v>46</v>
      </c>
      <c r="AK259" s="0" t="s">
        <v>46</v>
      </c>
      <c r="AL259" s="0" t="s">
        <v>46</v>
      </c>
    </row>
    <row r="260" customFormat="false" ht="15" hidden="false" customHeight="false" outlineLevel="0" collapsed="false">
      <c r="B260" s="0" t="str">
        <f aca="false">HYPERLINK("https://genome.ucsc.edu/cgi-bin/hgTracks?db=hg19&amp;position=chr4%3A1388350%2D1388350", "chr4:1388350")</f>
        <v>chr4:1388350</v>
      </c>
      <c r="C260" s="0" t="s">
        <v>186</v>
      </c>
      <c r="D260" s="0" t="n">
        <v>1388350</v>
      </c>
      <c r="E260" s="0" t="n">
        <v>1388350</v>
      </c>
      <c r="F260" s="0" t="s">
        <v>312</v>
      </c>
      <c r="G260" s="0" t="s">
        <v>1642</v>
      </c>
      <c r="H260" s="0" t="s">
        <v>1643</v>
      </c>
      <c r="I260" s="0" t="s">
        <v>557</v>
      </c>
      <c r="J260" s="0" t="s">
        <v>1644</v>
      </c>
      <c r="K260" s="0" t="s">
        <v>46</v>
      </c>
      <c r="L260" s="0" t="str">
        <f aca="false">HYPERLINK("https://www.ncbi.nlm.nih.gov/snp/rs750778284", "rs750778284")</f>
        <v>rs750778284</v>
      </c>
      <c r="M260" s="0" t="str">
        <f aca="false">HYPERLINK("https://www.genecards.org/Search/Keyword?queryString=%5Baliases%5D(%20CRIPAK%20)&amp;keywords=CRIPAK", "CRIPAK")</f>
        <v>CRIPAK</v>
      </c>
      <c r="N260" s="0" t="s">
        <v>491</v>
      </c>
      <c r="O260" s="0" t="s">
        <v>357</v>
      </c>
      <c r="P260" s="0" t="s">
        <v>1645</v>
      </c>
      <c r="Q260" s="0" t="n">
        <v>0.0010543</v>
      </c>
      <c r="R260" s="0" t="n">
        <v>-1</v>
      </c>
      <c r="S260" s="0" t="n">
        <v>-1</v>
      </c>
      <c r="T260" s="0" t="n">
        <v>-1</v>
      </c>
      <c r="U260" s="0" t="n">
        <v>-1</v>
      </c>
      <c r="V260" s="0" t="s">
        <v>46</v>
      </c>
      <c r="W260" s="0" t="s">
        <v>46</v>
      </c>
      <c r="X260" s="0" t="s">
        <v>46</v>
      </c>
      <c r="Y260" s="0" t="s">
        <v>46</v>
      </c>
      <c r="Z260" s="0" t="s">
        <v>46</v>
      </c>
      <c r="AA260" s="0" t="s">
        <v>46</v>
      </c>
      <c r="AB260" s="0" t="s">
        <v>46</v>
      </c>
      <c r="AC260" s="0" t="s">
        <v>52</v>
      </c>
      <c r="AD260" s="0" t="s">
        <v>94</v>
      </c>
      <c r="AE260" s="0" t="s">
        <v>1646</v>
      </c>
      <c r="AF260" s="0" t="s">
        <v>1647</v>
      </c>
      <c r="AG260" s="0" t="s">
        <v>1648</v>
      </c>
      <c r="AH260" s="0" t="s">
        <v>46</v>
      </c>
      <c r="AI260" s="0" t="s">
        <v>46</v>
      </c>
      <c r="AJ260" s="0" t="s">
        <v>46</v>
      </c>
      <c r="AK260" s="0" t="s">
        <v>46</v>
      </c>
      <c r="AL260" s="0" t="s">
        <v>46</v>
      </c>
    </row>
    <row r="261" customFormat="false" ht="15" hidden="false" customHeight="false" outlineLevel="0" collapsed="false">
      <c r="B261" s="0" t="str">
        <f aca="false">HYPERLINK("https://genome.ucsc.edu/cgi-bin/hgTracks?db=hg19&amp;position=chr4%3A1388756%2D1388756", "chr4:1388756")</f>
        <v>chr4:1388756</v>
      </c>
      <c r="C261" s="0" t="s">
        <v>186</v>
      </c>
      <c r="D261" s="0" t="n">
        <v>1388756</v>
      </c>
      <c r="E261" s="0" t="n">
        <v>1388756</v>
      </c>
      <c r="F261" s="0" t="s">
        <v>312</v>
      </c>
      <c r="G261" s="0" t="s">
        <v>1649</v>
      </c>
      <c r="H261" s="0" t="s">
        <v>1650</v>
      </c>
      <c r="I261" s="0" t="s">
        <v>989</v>
      </c>
      <c r="J261" s="0" t="s">
        <v>1651</v>
      </c>
      <c r="K261" s="0" t="s">
        <v>46</v>
      </c>
      <c r="L261" s="0" t="s">
        <v>46</v>
      </c>
      <c r="M261" s="0" t="str">
        <f aca="false">HYPERLINK("https://www.genecards.org/Search/Keyword?queryString=%5Baliases%5D(%20CRIPAK%20)&amp;keywords=CRIPAK", "CRIPAK")</f>
        <v>CRIPAK</v>
      </c>
      <c r="N261" s="0" t="s">
        <v>491</v>
      </c>
      <c r="O261" s="0" t="s">
        <v>357</v>
      </c>
      <c r="P261" s="0" t="s">
        <v>1652</v>
      </c>
      <c r="Q261" s="0" t="n">
        <v>6.507E-005</v>
      </c>
      <c r="R261" s="0" t="n">
        <v>-1</v>
      </c>
      <c r="S261" s="0" t="n">
        <v>-1</v>
      </c>
      <c r="T261" s="0" t="n">
        <v>-1</v>
      </c>
      <c r="U261" s="0" t="n">
        <v>-1</v>
      </c>
      <c r="V261" s="0" t="s">
        <v>46</v>
      </c>
      <c r="W261" s="0" t="s">
        <v>46</v>
      </c>
      <c r="X261" s="0" t="s">
        <v>46</v>
      </c>
      <c r="Y261" s="0" t="s">
        <v>46</v>
      </c>
      <c r="Z261" s="0" t="s">
        <v>46</v>
      </c>
      <c r="AA261" s="0" t="s">
        <v>46</v>
      </c>
      <c r="AB261" s="0" t="s">
        <v>46</v>
      </c>
      <c r="AC261" s="0" t="s">
        <v>52</v>
      </c>
      <c r="AD261" s="0" t="s">
        <v>94</v>
      </c>
      <c r="AE261" s="0" t="s">
        <v>1646</v>
      </c>
      <c r="AF261" s="0" t="s">
        <v>1647</v>
      </c>
      <c r="AG261" s="0" t="s">
        <v>1648</v>
      </c>
      <c r="AH261" s="0" t="s">
        <v>46</v>
      </c>
      <c r="AI261" s="0" t="s">
        <v>929</v>
      </c>
      <c r="AJ261" s="0" t="s">
        <v>46</v>
      </c>
      <c r="AK261" s="0" t="s">
        <v>46</v>
      </c>
      <c r="AL261" s="0" t="s">
        <v>46</v>
      </c>
    </row>
    <row r="262" customFormat="false" ht="15" hidden="false" customHeight="false" outlineLevel="0" collapsed="false">
      <c r="B262" s="0" t="str">
        <f aca="false">HYPERLINK("https://genome.ucsc.edu/cgi-bin/hgTracks?db=hg19&amp;position=chr4%3A5990869%2D5990870", "chr4:5990869")</f>
        <v>chr4:5990869</v>
      </c>
      <c r="C262" s="0" t="s">
        <v>186</v>
      </c>
      <c r="D262" s="0" t="n">
        <v>5990869</v>
      </c>
      <c r="E262" s="0" t="n">
        <v>5990870</v>
      </c>
      <c r="F262" s="0" t="s">
        <v>699</v>
      </c>
      <c r="G262" s="0" t="s">
        <v>312</v>
      </c>
      <c r="H262" s="0" t="s">
        <v>1653</v>
      </c>
      <c r="I262" s="0" t="s">
        <v>1654</v>
      </c>
      <c r="J262" s="0" t="s">
        <v>1655</v>
      </c>
      <c r="K262" s="0" t="s">
        <v>46</v>
      </c>
      <c r="L262" s="0" t="str">
        <f aca="false">HYPERLINK("https://www.ncbi.nlm.nih.gov/snp/rs143859826", "rs143859826")</f>
        <v>rs143859826</v>
      </c>
      <c r="M262" s="0" t="str">
        <f aca="false">HYPERLINK("https://www.genecards.org/Search/Keyword?queryString=%5Baliases%5D(%20C4orf50%20)%20OR%20%5Baliases%5D(%20FLJ46481%20)&amp;keywords=C4orf50,FLJ46481", "C4orf50;FLJ46481")</f>
        <v>C4orf50;FLJ46481</v>
      </c>
      <c r="N262" s="0" t="s">
        <v>546</v>
      </c>
      <c r="O262" s="0" t="s">
        <v>623</v>
      </c>
      <c r="P262" s="0" t="s">
        <v>1656</v>
      </c>
      <c r="Q262" s="0" t="n">
        <v>0.0107</v>
      </c>
      <c r="R262" s="0" t="n">
        <v>0.0016</v>
      </c>
      <c r="S262" s="0" t="n">
        <v>7.591E-005</v>
      </c>
      <c r="T262" s="0" t="n">
        <v>-1</v>
      </c>
      <c r="U262" s="0" t="n">
        <v>0.0002</v>
      </c>
      <c r="V262" s="0" t="s">
        <v>46</v>
      </c>
      <c r="W262" s="0" t="s">
        <v>46</v>
      </c>
      <c r="X262" s="0" t="s">
        <v>46</v>
      </c>
      <c r="Y262" s="0" t="s">
        <v>46</v>
      </c>
      <c r="Z262" s="0" t="s">
        <v>46</v>
      </c>
      <c r="AA262" s="0" t="s">
        <v>46</v>
      </c>
      <c r="AB262" s="0" t="s">
        <v>46</v>
      </c>
      <c r="AC262" s="0" t="s">
        <v>52</v>
      </c>
      <c r="AD262" s="0" t="s">
        <v>182</v>
      </c>
      <c r="AE262" s="0" t="s">
        <v>1657</v>
      </c>
      <c r="AF262" s="0" t="s">
        <v>1658</v>
      </c>
      <c r="AG262" s="0" t="s">
        <v>46</v>
      </c>
      <c r="AH262" s="0" t="s">
        <v>46</v>
      </c>
      <c r="AI262" s="0" t="s">
        <v>46</v>
      </c>
      <c r="AJ262" s="0" t="s">
        <v>46</v>
      </c>
      <c r="AK262" s="0" t="s">
        <v>46</v>
      </c>
      <c r="AL262" s="0" t="s">
        <v>46</v>
      </c>
    </row>
    <row r="263" customFormat="false" ht="15" hidden="false" customHeight="false" outlineLevel="0" collapsed="false">
      <c r="B263" s="0" t="str">
        <f aca="false">HYPERLINK("https://genome.ucsc.edu/cgi-bin/hgTracks?db=hg19&amp;position=chr4%3A13582680%2D13582680", "chr4:13582680")</f>
        <v>chr4:13582680</v>
      </c>
      <c r="C263" s="0" t="s">
        <v>186</v>
      </c>
      <c r="D263" s="0" t="n">
        <v>13582680</v>
      </c>
      <c r="E263" s="0" t="n">
        <v>13582680</v>
      </c>
      <c r="F263" s="0" t="s">
        <v>312</v>
      </c>
      <c r="G263" s="0" t="s">
        <v>72</v>
      </c>
      <c r="H263" s="0" t="s">
        <v>1659</v>
      </c>
      <c r="I263" s="0" t="s">
        <v>1660</v>
      </c>
      <c r="J263" s="0" t="s">
        <v>1661</v>
      </c>
      <c r="K263" s="0" t="s">
        <v>46</v>
      </c>
      <c r="L263" s="0" t="str">
        <f aca="false">HYPERLINK("https://www.ncbi.nlm.nih.gov/snp/rs776903347", "rs776903347")</f>
        <v>rs776903347</v>
      </c>
      <c r="M263" s="0" t="str">
        <f aca="false">HYPERLINK("https://www.genecards.org/Search/Keyword?queryString=%5Baliases%5D(%20BOD1L1%20)&amp;keywords=BOD1L1", "BOD1L1")</f>
        <v>BOD1L1</v>
      </c>
      <c r="N263" s="0" t="s">
        <v>45</v>
      </c>
      <c r="O263" s="0" t="s">
        <v>46</v>
      </c>
      <c r="P263" s="0" t="s">
        <v>1662</v>
      </c>
      <c r="Q263" s="0" t="n">
        <v>0.0143</v>
      </c>
      <c r="R263" s="0" t="n">
        <v>0.0061</v>
      </c>
      <c r="S263" s="0" t="n">
        <v>0.0048</v>
      </c>
      <c r="T263" s="0" t="n">
        <v>-1</v>
      </c>
      <c r="U263" s="0" t="n">
        <v>0.0175</v>
      </c>
      <c r="V263" s="0" t="s">
        <v>46</v>
      </c>
      <c r="W263" s="0" t="s">
        <v>46</v>
      </c>
      <c r="X263" s="0" t="s">
        <v>46</v>
      </c>
      <c r="Y263" s="0" t="s">
        <v>46</v>
      </c>
      <c r="Z263" s="0" t="s">
        <v>46</v>
      </c>
      <c r="AA263" s="0" t="s">
        <v>46</v>
      </c>
      <c r="AB263" s="0" t="s">
        <v>46</v>
      </c>
      <c r="AC263" s="0" t="s">
        <v>52</v>
      </c>
      <c r="AD263" s="0" t="s">
        <v>53</v>
      </c>
      <c r="AE263" s="0" t="s">
        <v>1663</v>
      </c>
      <c r="AF263" s="0" t="s">
        <v>1664</v>
      </c>
      <c r="AG263" s="0" t="s">
        <v>1665</v>
      </c>
      <c r="AH263" s="0" t="s">
        <v>46</v>
      </c>
      <c r="AI263" s="0" t="s">
        <v>46</v>
      </c>
      <c r="AJ263" s="0" t="s">
        <v>46</v>
      </c>
      <c r="AK263" s="0" t="s">
        <v>46</v>
      </c>
      <c r="AL263" s="0" t="s">
        <v>46</v>
      </c>
    </row>
    <row r="264" customFormat="false" ht="15" hidden="false" customHeight="false" outlineLevel="0" collapsed="false">
      <c r="B264" s="0" t="str">
        <f aca="false">HYPERLINK("https://genome.ucsc.edu/cgi-bin/hgTracks?db=hg19&amp;position=chr4%3A54139904%2D54139904", "chr4:54139904")</f>
        <v>chr4:54139904</v>
      </c>
      <c r="C264" s="0" t="s">
        <v>186</v>
      </c>
      <c r="D264" s="0" t="n">
        <v>54139904</v>
      </c>
      <c r="E264" s="0" t="n">
        <v>54139904</v>
      </c>
      <c r="F264" s="0" t="s">
        <v>39</v>
      </c>
      <c r="G264" s="0" t="s">
        <v>40</v>
      </c>
      <c r="H264" s="0" t="s">
        <v>1666</v>
      </c>
      <c r="I264" s="0" t="s">
        <v>297</v>
      </c>
      <c r="J264" s="0" t="s">
        <v>1667</v>
      </c>
      <c r="K264" s="0" t="s">
        <v>46</v>
      </c>
      <c r="L264" s="0" t="str">
        <f aca="false">HYPERLINK("https://www.ncbi.nlm.nih.gov/snp/rs78652505", "rs78652505")</f>
        <v>rs78652505</v>
      </c>
      <c r="M264" s="0" t="str">
        <f aca="false">HYPERLINK("https://www.genecards.org/Search/Keyword?queryString=%5Baliases%5D(%20SCFD2%20)&amp;keywords=SCFD2", "SCFD2")</f>
        <v>SCFD2</v>
      </c>
      <c r="N264" s="0" t="s">
        <v>63</v>
      </c>
      <c r="O264" s="0" t="s">
        <v>46</v>
      </c>
      <c r="P264" s="0" t="s">
        <v>46</v>
      </c>
      <c r="Q264" s="0" t="n">
        <v>0.0111</v>
      </c>
      <c r="R264" s="0" t="n">
        <v>0.0116</v>
      </c>
      <c r="S264" s="0" t="n">
        <v>0.0116</v>
      </c>
      <c r="T264" s="0" t="n">
        <v>-1</v>
      </c>
      <c r="U264" s="0" t="n">
        <v>0.0143</v>
      </c>
      <c r="V264" s="0" t="s">
        <v>46</v>
      </c>
      <c r="W264" s="0" t="s">
        <v>46</v>
      </c>
      <c r="X264" s="0" t="s">
        <v>49</v>
      </c>
      <c r="Y264" s="0" t="s">
        <v>64</v>
      </c>
      <c r="Z264" s="0" t="s">
        <v>46</v>
      </c>
      <c r="AA264" s="0" t="s">
        <v>46</v>
      </c>
      <c r="AB264" s="0" t="s">
        <v>46</v>
      </c>
      <c r="AC264" s="0" t="s">
        <v>52</v>
      </c>
      <c r="AD264" s="0" t="s">
        <v>53</v>
      </c>
      <c r="AE264" s="0" t="s">
        <v>1668</v>
      </c>
      <c r="AF264" s="0" t="s">
        <v>1669</v>
      </c>
      <c r="AG264" s="0" t="s">
        <v>1670</v>
      </c>
      <c r="AH264" s="0" t="s">
        <v>46</v>
      </c>
      <c r="AI264" s="0" t="s">
        <v>46</v>
      </c>
      <c r="AJ264" s="0" t="s">
        <v>46</v>
      </c>
      <c r="AK264" s="0" t="s">
        <v>46</v>
      </c>
      <c r="AL264" s="0" t="s">
        <v>46</v>
      </c>
    </row>
    <row r="265" customFormat="false" ht="15" hidden="false" customHeight="false" outlineLevel="0" collapsed="false">
      <c r="B265" s="0" t="str">
        <f aca="false">HYPERLINK("https://genome.ucsc.edu/cgi-bin/hgTracks?db=hg19&amp;position=chr4%3A57678108%2D57678108", "chr4:57678108")</f>
        <v>chr4:57678108</v>
      </c>
      <c r="C265" s="0" t="s">
        <v>186</v>
      </c>
      <c r="D265" s="0" t="n">
        <v>57678108</v>
      </c>
      <c r="E265" s="0" t="n">
        <v>57678108</v>
      </c>
      <c r="F265" s="0" t="s">
        <v>39</v>
      </c>
      <c r="G265" s="0" t="s">
        <v>40</v>
      </c>
      <c r="H265" s="0" t="s">
        <v>1671</v>
      </c>
      <c r="I265" s="0" t="s">
        <v>666</v>
      </c>
      <c r="J265" s="0" t="s">
        <v>1494</v>
      </c>
      <c r="K265" s="0" t="s">
        <v>46</v>
      </c>
      <c r="L265" s="0" t="str">
        <f aca="false">HYPERLINK("https://www.ncbi.nlm.nih.gov/snp/rs200119551", "rs200119551")</f>
        <v>rs200119551</v>
      </c>
      <c r="M265" s="0" t="str">
        <f aca="false">HYPERLINK("https://www.genecards.org/Search/Keyword?queryString=%5Baliases%5D(%20SPINK2%20)&amp;keywords=SPINK2", "SPINK2")</f>
        <v>SPINK2</v>
      </c>
      <c r="N265" s="0" t="s">
        <v>63</v>
      </c>
      <c r="O265" s="0" t="s">
        <v>46</v>
      </c>
      <c r="P265" s="0" t="s">
        <v>46</v>
      </c>
      <c r="Q265" s="0" t="n">
        <v>0.0049</v>
      </c>
      <c r="R265" s="0" t="n">
        <v>0.0052</v>
      </c>
      <c r="S265" s="0" t="n">
        <v>0.0045</v>
      </c>
      <c r="T265" s="0" t="n">
        <v>-1</v>
      </c>
      <c r="U265" s="0" t="n">
        <v>0.0123</v>
      </c>
      <c r="V265" s="0" t="s">
        <v>46</v>
      </c>
      <c r="W265" s="0" t="s">
        <v>46</v>
      </c>
      <c r="X265" s="0" t="s">
        <v>49</v>
      </c>
      <c r="Y265" s="0" t="s">
        <v>64</v>
      </c>
      <c r="Z265" s="0" t="s">
        <v>46</v>
      </c>
      <c r="AA265" s="0" t="s">
        <v>46</v>
      </c>
      <c r="AB265" s="0" t="s">
        <v>46</v>
      </c>
      <c r="AC265" s="0" t="s">
        <v>52</v>
      </c>
      <c r="AD265" s="0" t="s">
        <v>53</v>
      </c>
      <c r="AE265" s="0" t="s">
        <v>1672</v>
      </c>
      <c r="AF265" s="0" t="s">
        <v>1673</v>
      </c>
      <c r="AG265" s="0" t="s">
        <v>1674</v>
      </c>
      <c r="AH265" s="0" t="s">
        <v>46</v>
      </c>
      <c r="AI265" s="0" t="s">
        <v>46</v>
      </c>
      <c r="AJ265" s="0" t="s">
        <v>46</v>
      </c>
      <c r="AK265" s="0" t="s">
        <v>46</v>
      </c>
      <c r="AL265" s="0" t="s">
        <v>46</v>
      </c>
    </row>
    <row r="266" s="2" customFormat="true" ht="15" hidden="false" customHeight="false" outlineLevel="0" collapsed="false">
      <c r="B266" s="2" t="str">
        <f aca="false">HYPERLINK("https://genome.ucsc.edu/cgi-bin/hgTracks?db=hg19&amp;position=chr4%3A88533164%2D88533173", "chr4:88533164")</f>
        <v>chr4:88533164</v>
      </c>
      <c r="C266" s="2" t="s">
        <v>186</v>
      </c>
      <c r="D266" s="2" t="n">
        <v>88533164</v>
      </c>
      <c r="E266" s="2" t="n">
        <v>88533173</v>
      </c>
      <c r="F266" s="2" t="s">
        <v>1675</v>
      </c>
      <c r="G266" s="2" t="s">
        <v>312</v>
      </c>
      <c r="H266" s="2" t="s">
        <v>1676</v>
      </c>
      <c r="I266" s="2" t="s">
        <v>1125</v>
      </c>
      <c r="J266" s="2" t="s">
        <v>1677</v>
      </c>
      <c r="K266" s="2" t="s">
        <v>46</v>
      </c>
      <c r="L266" s="2" t="str">
        <f aca="false">HYPERLINK("https://www.ncbi.nlm.nih.gov/snp/rs536091319", "rs536091319")</f>
        <v>rs536091319</v>
      </c>
      <c r="M266" s="2" t="str">
        <f aca="false">HYPERLINK("https://www.genecards.org/Search/Keyword?queryString=%5Baliases%5D(%20DSPP%20)&amp;keywords=DSPP", "DSPP")</f>
        <v>DSPP</v>
      </c>
      <c r="N266" s="2" t="s">
        <v>366</v>
      </c>
      <c r="O266" s="2" t="s">
        <v>46</v>
      </c>
      <c r="P266" s="2" t="s">
        <v>46</v>
      </c>
      <c r="Q266" s="2" t="n">
        <v>0.0043</v>
      </c>
      <c r="R266" s="2" t="n">
        <v>0.0027</v>
      </c>
      <c r="S266" s="2" t="n">
        <v>0.0039</v>
      </c>
      <c r="T266" s="2" t="n">
        <v>-1</v>
      </c>
      <c r="U266" s="2" t="n">
        <v>0.0092</v>
      </c>
      <c r="V266" s="2" t="s">
        <v>46</v>
      </c>
      <c r="W266" s="2" t="s">
        <v>46</v>
      </c>
      <c r="X266" s="2" t="s">
        <v>46</v>
      </c>
      <c r="Y266" s="2" t="s">
        <v>46</v>
      </c>
      <c r="Z266" s="2" t="s">
        <v>46</v>
      </c>
      <c r="AA266" s="2" t="s">
        <v>46</v>
      </c>
      <c r="AB266" s="2" t="s">
        <v>46</v>
      </c>
      <c r="AC266" s="2" t="s">
        <v>319</v>
      </c>
      <c r="AD266" s="2" t="s">
        <v>94</v>
      </c>
      <c r="AE266" s="2" t="s">
        <v>1678</v>
      </c>
      <c r="AF266" s="2" t="s">
        <v>1679</v>
      </c>
      <c r="AG266" s="2" t="s">
        <v>1680</v>
      </c>
      <c r="AH266" s="2" t="s">
        <v>1681</v>
      </c>
      <c r="AI266" s="2" t="s">
        <v>46</v>
      </c>
      <c r="AJ266" s="2" t="s">
        <v>46</v>
      </c>
      <c r="AK266" s="2" t="s">
        <v>46</v>
      </c>
      <c r="AL266" s="2" t="s">
        <v>46</v>
      </c>
    </row>
    <row r="267" s="2" customFormat="true" ht="15" hidden="false" customHeight="false" outlineLevel="0" collapsed="false">
      <c r="B267" s="2" t="str">
        <f aca="false">HYPERLINK("https://genome.ucsc.edu/cgi-bin/hgTracks?db=hg19&amp;position=chr4%3A88533166%2D88533173", "chr4:88533166")</f>
        <v>chr4:88533166</v>
      </c>
      <c r="C267" s="2" t="s">
        <v>186</v>
      </c>
      <c r="D267" s="2" t="n">
        <v>88533166</v>
      </c>
      <c r="E267" s="2" t="n">
        <v>88533173</v>
      </c>
      <c r="F267" s="2" t="s">
        <v>1682</v>
      </c>
      <c r="G267" s="2" t="s">
        <v>312</v>
      </c>
      <c r="H267" s="2" t="s">
        <v>1676</v>
      </c>
      <c r="I267" s="2" t="s">
        <v>1125</v>
      </c>
      <c r="J267" s="2" t="s">
        <v>1677</v>
      </c>
      <c r="K267" s="2" t="s">
        <v>46</v>
      </c>
      <c r="L267" s="2" t="s">
        <v>46</v>
      </c>
      <c r="M267" s="2" t="str">
        <f aca="false">HYPERLINK("https://www.genecards.org/Search/Keyword?queryString=%5Baliases%5D(%20DSPP%20)&amp;keywords=DSPP", "DSPP")</f>
        <v>DSPP</v>
      </c>
      <c r="N267" s="2" t="s">
        <v>366</v>
      </c>
      <c r="O267" s="2" t="s">
        <v>46</v>
      </c>
      <c r="P267" s="2" t="s">
        <v>46</v>
      </c>
      <c r="Q267" s="2" t="n">
        <v>-1</v>
      </c>
      <c r="R267" s="2" t="n">
        <v>-1</v>
      </c>
      <c r="S267" s="2" t="n">
        <v>-1</v>
      </c>
      <c r="T267" s="2" t="n">
        <v>-1</v>
      </c>
      <c r="U267" s="2" t="n">
        <v>-1</v>
      </c>
      <c r="V267" s="2" t="s">
        <v>46</v>
      </c>
      <c r="W267" s="2" t="s">
        <v>46</v>
      </c>
      <c r="X267" s="2" t="s">
        <v>46</v>
      </c>
      <c r="Y267" s="2" t="s">
        <v>46</v>
      </c>
      <c r="Z267" s="2" t="s">
        <v>46</v>
      </c>
      <c r="AA267" s="2" t="s">
        <v>46</v>
      </c>
      <c r="AB267" s="2" t="s">
        <v>46</v>
      </c>
      <c r="AC267" s="2" t="s">
        <v>319</v>
      </c>
      <c r="AD267" s="2" t="s">
        <v>94</v>
      </c>
      <c r="AE267" s="2" t="s">
        <v>1678</v>
      </c>
      <c r="AF267" s="2" t="s">
        <v>1679</v>
      </c>
      <c r="AG267" s="2" t="s">
        <v>1680</v>
      </c>
      <c r="AH267" s="2" t="s">
        <v>1681</v>
      </c>
      <c r="AI267" s="2" t="s">
        <v>46</v>
      </c>
      <c r="AJ267" s="2" t="s">
        <v>46</v>
      </c>
      <c r="AK267" s="2" t="s">
        <v>46</v>
      </c>
      <c r="AL267" s="2" t="s">
        <v>46</v>
      </c>
    </row>
    <row r="268" customFormat="false" ht="15" hidden="false" customHeight="false" outlineLevel="0" collapsed="false">
      <c r="B268" s="0" t="str">
        <f aca="false">HYPERLINK("https://genome.ucsc.edu/cgi-bin/hgTracks?db=hg19&amp;position=chr4%3A90646504%2D90646505", "chr4:90646504")</f>
        <v>chr4:90646504</v>
      </c>
      <c r="C268" s="0" t="s">
        <v>186</v>
      </c>
      <c r="D268" s="0" t="n">
        <v>90646504</v>
      </c>
      <c r="E268" s="0" t="n">
        <v>90646505</v>
      </c>
      <c r="F268" s="0" t="s">
        <v>1389</v>
      </c>
      <c r="G268" s="0" t="s">
        <v>312</v>
      </c>
      <c r="H268" s="0" t="s">
        <v>1683</v>
      </c>
      <c r="I268" s="0" t="s">
        <v>1684</v>
      </c>
      <c r="J268" s="0" t="s">
        <v>1685</v>
      </c>
      <c r="K268" s="0" t="s">
        <v>46</v>
      </c>
      <c r="L268" s="0" t="s">
        <v>46</v>
      </c>
      <c r="M268" s="0" t="str">
        <f aca="false">HYPERLINK("https://www.genecards.org/Search/Keyword?queryString=%5Baliases%5D(%20SNCA%20)&amp;keywords=SNCA", "SNCA")</f>
        <v>SNCA</v>
      </c>
      <c r="N268" s="0" t="s">
        <v>338</v>
      </c>
      <c r="O268" s="0" t="s">
        <v>46</v>
      </c>
      <c r="P268" s="0" t="s">
        <v>1686</v>
      </c>
      <c r="Q268" s="0" t="n">
        <v>-1</v>
      </c>
      <c r="R268" s="0" t="n">
        <v>-1</v>
      </c>
      <c r="S268" s="0" t="n">
        <v>-1</v>
      </c>
      <c r="T268" s="0" t="n">
        <v>-1</v>
      </c>
      <c r="U268" s="0" t="n">
        <v>-1</v>
      </c>
      <c r="V268" s="0" t="s">
        <v>46</v>
      </c>
      <c r="W268" s="0" t="s">
        <v>46</v>
      </c>
      <c r="X268" s="0" t="s">
        <v>46</v>
      </c>
      <c r="Y268" s="0" t="s">
        <v>46</v>
      </c>
      <c r="Z268" s="0" t="s">
        <v>46</v>
      </c>
      <c r="AA268" s="0" t="s">
        <v>46</v>
      </c>
      <c r="AB268" s="0" t="s">
        <v>46</v>
      </c>
      <c r="AC268" s="0" t="s">
        <v>319</v>
      </c>
      <c r="AD268" s="0" t="s">
        <v>53</v>
      </c>
      <c r="AE268" s="0" t="s">
        <v>1687</v>
      </c>
      <c r="AF268" s="0" t="s">
        <v>1688</v>
      </c>
      <c r="AG268" s="0" t="s">
        <v>1689</v>
      </c>
      <c r="AH268" s="0" t="s">
        <v>1690</v>
      </c>
      <c r="AI268" s="0" t="s">
        <v>46</v>
      </c>
      <c r="AJ268" s="0" t="s">
        <v>46</v>
      </c>
      <c r="AK268" s="0" t="s">
        <v>46</v>
      </c>
      <c r="AL268" s="0" t="s">
        <v>46</v>
      </c>
    </row>
    <row r="269" customFormat="false" ht="15" hidden="false" customHeight="false" outlineLevel="0" collapsed="false">
      <c r="B269" s="0" t="str">
        <f aca="false">HYPERLINK("https://genome.ucsc.edu/cgi-bin/hgTracks?db=hg19&amp;position=chr4%3A103651014%2D103651022", "chr4:103651014")</f>
        <v>chr4:103651014</v>
      </c>
      <c r="C269" s="0" t="s">
        <v>186</v>
      </c>
      <c r="D269" s="0" t="n">
        <v>103651014</v>
      </c>
      <c r="E269" s="0" t="n">
        <v>103651022</v>
      </c>
      <c r="F269" s="0" t="s">
        <v>1691</v>
      </c>
      <c r="G269" s="0" t="s">
        <v>312</v>
      </c>
      <c r="H269" s="0" t="s">
        <v>1692</v>
      </c>
      <c r="I269" s="0" t="s">
        <v>1166</v>
      </c>
      <c r="J269" s="0" t="s">
        <v>1693</v>
      </c>
      <c r="K269" s="0" t="s">
        <v>46</v>
      </c>
      <c r="L269" s="0" t="s">
        <v>46</v>
      </c>
      <c r="M269" s="0" t="str">
        <f aca="false">HYPERLINK("https://www.genecards.org/Search/Keyword?queryString=%5Baliases%5D(%20MANBA%20)&amp;keywords=MANBA", "MANBA")</f>
        <v>MANBA</v>
      </c>
      <c r="N269" s="0" t="s">
        <v>609</v>
      </c>
      <c r="O269" s="0" t="s">
        <v>46</v>
      </c>
      <c r="P269" s="0" t="s">
        <v>46</v>
      </c>
      <c r="Q269" s="0" t="n">
        <v>-1</v>
      </c>
      <c r="R269" s="0" t="n">
        <v>-1</v>
      </c>
      <c r="S269" s="0" t="n">
        <v>-1</v>
      </c>
      <c r="T269" s="0" t="n">
        <v>-1</v>
      </c>
      <c r="U269" s="0" t="n">
        <v>-1</v>
      </c>
      <c r="V269" s="0" t="s">
        <v>46</v>
      </c>
      <c r="W269" s="0" t="s">
        <v>46</v>
      </c>
      <c r="X269" s="0" t="s">
        <v>46</v>
      </c>
      <c r="Y269" s="0" t="s">
        <v>46</v>
      </c>
      <c r="Z269" s="0" t="s">
        <v>46</v>
      </c>
      <c r="AA269" s="0" t="s">
        <v>46</v>
      </c>
      <c r="AB269" s="0" t="s">
        <v>46</v>
      </c>
      <c r="AC269" s="0" t="s">
        <v>52</v>
      </c>
      <c r="AD269" s="0" t="s">
        <v>53</v>
      </c>
      <c r="AE269" s="0" t="s">
        <v>1694</v>
      </c>
      <c r="AF269" s="0" t="s">
        <v>1695</v>
      </c>
      <c r="AG269" s="0" t="s">
        <v>1696</v>
      </c>
      <c r="AH269" s="0" t="s">
        <v>1697</v>
      </c>
      <c r="AI269" s="0" t="s">
        <v>46</v>
      </c>
      <c r="AJ269" s="0" t="s">
        <v>46</v>
      </c>
      <c r="AK269" s="0" t="s">
        <v>46</v>
      </c>
      <c r="AL269" s="0" t="s">
        <v>46</v>
      </c>
    </row>
    <row r="270" customFormat="false" ht="15" hidden="false" customHeight="false" outlineLevel="0" collapsed="false">
      <c r="B270" s="0" t="str">
        <f aca="false">HYPERLINK("https://genome.ucsc.edu/cgi-bin/hgTracks?db=hg19&amp;position=chr4%3A103826631%2D103826631", "chr4:103826631")</f>
        <v>chr4:103826631</v>
      </c>
      <c r="C270" s="0" t="s">
        <v>186</v>
      </c>
      <c r="D270" s="0" t="n">
        <v>103826631</v>
      </c>
      <c r="E270" s="0" t="n">
        <v>103826631</v>
      </c>
      <c r="F270" s="0" t="s">
        <v>72</v>
      </c>
      <c r="G270" s="0" t="s">
        <v>39</v>
      </c>
      <c r="H270" s="0" t="s">
        <v>1698</v>
      </c>
      <c r="I270" s="0" t="s">
        <v>364</v>
      </c>
      <c r="J270" s="0" t="s">
        <v>1699</v>
      </c>
      <c r="K270" s="0" t="s">
        <v>46</v>
      </c>
      <c r="L270" s="0" t="s">
        <v>46</v>
      </c>
      <c r="M270" s="0" t="str">
        <f aca="false">HYPERLINK("https://www.genecards.org/Search/Keyword?queryString=%5Baliases%5D(%20SLC9B1%20)&amp;keywords=SLC9B1", "SLC9B1")</f>
        <v>SLC9B1</v>
      </c>
      <c r="N270" s="0" t="s">
        <v>63</v>
      </c>
      <c r="O270" s="0" t="s">
        <v>46</v>
      </c>
      <c r="P270" s="0" t="s">
        <v>46</v>
      </c>
      <c r="Q270" s="0" t="n">
        <v>0.0141</v>
      </c>
      <c r="R270" s="0" t="n">
        <v>0.0007</v>
      </c>
      <c r="S270" s="0" t="n">
        <v>0.0007</v>
      </c>
      <c r="T270" s="0" t="n">
        <v>-1</v>
      </c>
      <c r="U270" s="0" t="n">
        <v>-1</v>
      </c>
      <c r="V270" s="0" t="s">
        <v>46</v>
      </c>
      <c r="W270" s="0" t="s">
        <v>46</v>
      </c>
      <c r="X270" s="0" t="s">
        <v>49</v>
      </c>
      <c r="Y270" s="0" t="s">
        <v>64</v>
      </c>
      <c r="Z270" s="0" t="s">
        <v>46</v>
      </c>
      <c r="AA270" s="0" t="s">
        <v>46</v>
      </c>
      <c r="AB270" s="0" t="s">
        <v>46</v>
      </c>
      <c r="AC270" s="0" t="s">
        <v>52</v>
      </c>
      <c r="AD270" s="0" t="s">
        <v>94</v>
      </c>
      <c r="AE270" s="0" t="s">
        <v>526</v>
      </c>
      <c r="AF270" s="0" t="s">
        <v>527</v>
      </c>
      <c r="AG270" s="0" t="s">
        <v>46</v>
      </c>
      <c r="AH270" s="0" t="s">
        <v>46</v>
      </c>
      <c r="AI270" s="0" t="s">
        <v>46</v>
      </c>
      <c r="AJ270" s="0" t="s">
        <v>46</v>
      </c>
      <c r="AK270" s="0" t="s">
        <v>46</v>
      </c>
      <c r="AL270" s="0" t="s">
        <v>397</v>
      </c>
    </row>
    <row r="271" customFormat="false" ht="15" hidden="false" customHeight="false" outlineLevel="0" collapsed="false">
      <c r="B271" s="0" t="str">
        <f aca="false">HYPERLINK("https://genome.ucsc.edu/cgi-bin/hgTracks?db=hg19&amp;position=chr4%3A151520401%2D151520401", "chr4:151520401")</f>
        <v>chr4:151520401</v>
      </c>
      <c r="C271" s="0" t="s">
        <v>186</v>
      </c>
      <c r="D271" s="0" t="n">
        <v>151520401</v>
      </c>
      <c r="E271" s="0" t="n">
        <v>151520401</v>
      </c>
      <c r="F271" s="0" t="s">
        <v>72</v>
      </c>
      <c r="G271" s="0" t="s">
        <v>39</v>
      </c>
      <c r="H271" s="0" t="s">
        <v>1700</v>
      </c>
      <c r="I271" s="0" t="s">
        <v>1197</v>
      </c>
      <c r="J271" s="0" t="s">
        <v>1701</v>
      </c>
      <c r="K271" s="0" t="s">
        <v>46</v>
      </c>
      <c r="L271" s="0" t="str">
        <f aca="false">HYPERLINK("https://www.ncbi.nlm.nih.gov/snp/rs143954281", "rs143954281")</f>
        <v>rs143954281</v>
      </c>
      <c r="M271" s="0" t="str">
        <f aca="false">HYPERLINK("https://www.genecards.org/Search/Keyword?queryString=%5Baliases%5D(%20LRBA%20)&amp;keywords=LRBA", "LRBA")</f>
        <v>LRBA</v>
      </c>
      <c r="N271" s="0" t="s">
        <v>63</v>
      </c>
      <c r="O271" s="0" t="s">
        <v>46</v>
      </c>
      <c r="P271" s="0" t="s">
        <v>46</v>
      </c>
      <c r="Q271" s="0" t="n">
        <v>0.0165</v>
      </c>
      <c r="R271" s="0" t="n">
        <v>0.0192</v>
      </c>
      <c r="S271" s="0" t="n">
        <v>0.0156</v>
      </c>
      <c r="T271" s="0" t="n">
        <v>-1</v>
      </c>
      <c r="U271" s="0" t="n">
        <v>0.0299</v>
      </c>
      <c r="V271" s="0" t="s">
        <v>46</v>
      </c>
      <c r="W271" s="0" t="s">
        <v>46</v>
      </c>
      <c r="X271" s="0" t="s">
        <v>49</v>
      </c>
      <c r="Y271" s="0" t="s">
        <v>64</v>
      </c>
      <c r="Z271" s="0" t="s">
        <v>46</v>
      </c>
      <c r="AA271" s="0" t="s">
        <v>46</v>
      </c>
      <c r="AB271" s="0" t="s">
        <v>46</v>
      </c>
      <c r="AC271" s="0" t="s">
        <v>52</v>
      </c>
      <c r="AD271" s="0" t="s">
        <v>53</v>
      </c>
      <c r="AE271" s="0" t="s">
        <v>1702</v>
      </c>
      <c r="AF271" s="0" t="s">
        <v>1703</v>
      </c>
      <c r="AG271" s="0" t="s">
        <v>1704</v>
      </c>
      <c r="AH271" s="0" t="s">
        <v>1705</v>
      </c>
      <c r="AI271" s="0" t="s">
        <v>46</v>
      </c>
      <c r="AJ271" s="0" t="s">
        <v>46</v>
      </c>
      <c r="AK271" s="0" t="s">
        <v>46</v>
      </c>
      <c r="AL271" s="0" t="s">
        <v>46</v>
      </c>
    </row>
    <row r="272" customFormat="false" ht="15" hidden="false" customHeight="false" outlineLevel="0" collapsed="false">
      <c r="B272" s="0" t="str">
        <f aca="false">HYPERLINK("https://genome.ucsc.edu/cgi-bin/hgTracks?db=hg19&amp;position=chr5%3A59894832%2D59894832", "chr5:59894832")</f>
        <v>chr5:59894832</v>
      </c>
      <c r="C272" s="0" t="s">
        <v>135</v>
      </c>
      <c r="D272" s="0" t="n">
        <v>59894832</v>
      </c>
      <c r="E272" s="0" t="n">
        <v>59894832</v>
      </c>
      <c r="F272" s="0" t="s">
        <v>39</v>
      </c>
      <c r="G272" s="0" t="s">
        <v>40</v>
      </c>
      <c r="H272" s="0" t="s">
        <v>1706</v>
      </c>
      <c r="I272" s="0" t="s">
        <v>621</v>
      </c>
      <c r="J272" s="0" t="s">
        <v>1707</v>
      </c>
      <c r="K272" s="0" t="s">
        <v>46</v>
      </c>
      <c r="L272" s="0" t="str">
        <f aca="false">HYPERLINK("https://www.ncbi.nlm.nih.gov/snp/rs1004680515", "rs1004680515")</f>
        <v>rs1004680515</v>
      </c>
      <c r="M272" s="0" t="str">
        <f aca="false">HYPERLINK("https://www.genecards.org/Search/Keyword?queryString=%5Baliases%5D(%20DEPDC1B%20)&amp;keywords=DEPDC1B", "DEPDC1B")</f>
        <v>DEPDC1B</v>
      </c>
      <c r="N272" s="0" t="s">
        <v>63</v>
      </c>
      <c r="O272" s="0" t="s">
        <v>46</v>
      </c>
      <c r="P272" s="0" t="s">
        <v>46</v>
      </c>
      <c r="Q272" s="0" t="n">
        <v>0.0001153</v>
      </c>
      <c r="R272" s="0" t="n">
        <v>0.0001</v>
      </c>
      <c r="S272" s="0" t="n">
        <v>-1</v>
      </c>
      <c r="T272" s="0" t="n">
        <v>-1</v>
      </c>
      <c r="U272" s="0" t="n">
        <v>-1</v>
      </c>
      <c r="V272" s="0" t="s">
        <v>46</v>
      </c>
      <c r="W272" s="0" t="s">
        <v>46</v>
      </c>
      <c r="X272" s="0" t="s">
        <v>385</v>
      </c>
      <c r="Y272" s="0" t="s">
        <v>64</v>
      </c>
      <c r="Z272" s="0" t="s">
        <v>46</v>
      </c>
      <c r="AA272" s="0" t="s">
        <v>46</v>
      </c>
      <c r="AB272" s="0" t="s">
        <v>46</v>
      </c>
      <c r="AC272" s="0" t="s">
        <v>52</v>
      </c>
      <c r="AD272" s="0" t="s">
        <v>53</v>
      </c>
      <c r="AE272" s="0" t="s">
        <v>1708</v>
      </c>
      <c r="AF272" s="0" t="s">
        <v>1709</v>
      </c>
      <c r="AG272" s="0" t="s">
        <v>46</v>
      </c>
      <c r="AH272" s="0" t="s">
        <v>46</v>
      </c>
      <c r="AI272" s="0" t="s">
        <v>46</v>
      </c>
      <c r="AJ272" s="0" t="s">
        <v>46</v>
      </c>
      <c r="AK272" s="0" t="s">
        <v>46</v>
      </c>
      <c r="AL272" s="0" t="s">
        <v>46</v>
      </c>
    </row>
    <row r="273" customFormat="false" ht="15" hidden="false" customHeight="false" outlineLevel="0" collapsed="false">
      <c r="B273" s="0" t="str">
        <f aca="false">HYPERLINK("https://genome.ucsc.edu/cgi-bin/hgTracks?db=hg19&amp;position=chr5%3A88018305%2D88018305", "chr5:88018305")</f>
        <v>chr5:88018305</v>
      </c>
      <c r="C273" s="0" t="s">
        <v>135</v>
      </c>
      <c r="D273" s="0" t="n">
        <v>88018305</v>
      </c>
      <c r="E273" s="0" t="n">
        <v>88018305</v>
      </c>
      <c r="F273" s="0" t="s">
        <v>312</v>
      </c>
      <c r="G273" s="0" t="s">
        <v>39</v>
      </c>
      <c r="H273" s="0" t="s">
        <v>1710</v>
      </c>
      <c r="I273" s="0" t="s">
        <v>246</v>
      </c>
      <c r="J273" s="0" t="s">
        <v>1711</v>
      </c>
      <c r="K273" s="0" t="s">
        <v>46</v>
      </c>
      <c r="L273" s="0" t="str">
        <f aca="false">HYPERLINK("https://www.ncbi.nlm.nih.gov/snp/rs1045046374", "rs1045046374")</f>
        <v>rs1045046374</v>
      </c>
      <c r="M273" s="0" t="str">
        <f aca="false">HYPERLINK("https://www.genecards.org/Search/Keyword?queryString=%5Baliases%5D(%20MEF2C%20)%20OR%20%5Baliases%5D(%20MEF2C-AS2%20)&amp;keywords=MEF2C,MEF2C-AS2", "MEF2C;MEF2C-AS2")</f>
        <v>MEF2C;MEF2C-AS2</v>
      </c>
      <c r="N273" s="0" t="s">
        <v>338</v>
      </c>
      <c r="O273" s="0" t="s">
        <v>46</v>
      </c>
      <c r="P273" s="0" t="s">
        <v>1712</v>
      </c>
      <c r="Q273" s="0" t="n">
        <v>0.0049</v>
      </c>
      <c r="R273" s="0" t="n">
        <v>0.002</v>
      </c>
      <c r="S273" s="0" t="n">
        <v>0.0025</v>
      </c>
      <c r="T273" s="0" t="n">
        <v>-1</v>
      </c>
      <c r="U273" s="0" t="n">
        <v>0.0096</v>
      </c>
      <c r="V273" s="0" t="s">
        <v>46</v>
      </c>
      <c r="W273" s="0" t="s">
        <v>46</v>
      </c>
      <c r="X273" s="0" t="s">
        <v>46</v>
      </c>
      <c r="Y273" s="0" t="s">
        <v>46</v>
      </c>
      <c r="Z273" s="0" t="s">
        <v>46</v>
      </c>
      <c r="AA273" s="0" t="s">
        <v>46</v>
      </c>
      <c r="AB273" s="0" t="s">
        <v>46</v>
      </c>
      <c r="AC273" s="0" t="s">
        <v>52</v>
      </c>
      <c r="AD273" s="0" t="s">
        <v>182</v>
      </c>
      <c r="AE273" s="0" t="s">
        <v>1713</v>
      </c>
      <c r="AF273" s="0" t="s">
        <v>1714</v>
      </c>
      <c r="AG273" s="0" t="s">
        <v>1715</v>
      </c>
      <c r="AH273" s="0" t="s">
        <v>1716</v>
      </c>
      <c r="AI273" s="0" t="s">
        <v>46</v>
      </c>
      <c r="AJ273" s="0" t="s">
        <v>46</v>
      </c>
      <c r="AK273" s="0" t="s">
        <v>46</v>
      </c>
      <c r="AL273" s="0" t="s">
        <v>46</v>
      </c>
    </row>
    <row r="274" customFormat="false" ht="15" hidden="false" customHeight="false" outlineLevel="0" collapsed="false">
      <c r="B274" s="0" t="str">
        <f aca="false">HYPERLINK("https://genome.ucsc.edu/cgi-bin/hgTracks?db=hg19&amp;position=chr5%3A90103709%2D90103709", "chr5:90103709")</f>
        <v>chr5:90103709</v>
      </c>
      <c r="C274" s="0" t="s">
        <v>135</v>
      </c>
      <c r="D274" s="0" t="n">
        <v>90103709</v>
      </c>
      <c r="E274" s="0" t="n">
        <v>90103709</v>
      </c>
      <c r="F274" s="0" t="s">
        <v>58</v>
      </c>
      <c r="G274" s="0" t="s">
        <v>39</v>
      </c>
      <c r="H274" s="0" t="s">
        <v>1717</v>
      </c>
      <c r="I274" s="0" t="s">
        <v>648</v>
      </c>
      <c r="J274" s="0" t="s">
        <v>1718</v>
      </c>
      <c r="K274" s="0" t="s">
        <v>46</v>
      </c>
      <c r="L274" s="0" t="str">
        <f aca="false">HYPERLINK("https://www.ncbi.nlm.nih.gov/snp/rs77138410", "rs77138410")</f>
        <v>rs77138410</v>
      </c>
      <c r="M274" s="0" t="str">
        <f aca="false">HYPERLINK("https://www.genecards.org/Search/Keyword?queryString=%5Baliases%5D(%20ADGRV1%20)%20OR%20%5Baliases%5D(%20GPR98%20)&amp;keywords=ADGRV1,GPR98", "ADGRV1;GPR98")</f>
        <v>ADGRV1;GPR98</v>
      </c>
      <c r="N274" s="0" t="s">
        <v>63</v>
      </c>
      <c r="O274" s="0" t="s">
        <v>46</v>
      </c>
      <c r="P274" s="0" t="s">
        <v>46</v>
      </c>
      <c r="Q274" s="0" t="n">
        <v>0.0248</v>
      </c>
      <c r="R274" s="0" t="n">
        <v>0.0194</v>
      </c>
      <c r="S274" s="0" t="n">
        <v>0.0165</v>
      </c>
      <c r="T274" s="0" t="n">
        <v>-1</v>
      </c>
      <c r="U274" s="0" t="n">
        <v>0.0242</v>
      </c>
      <c r="V274" s="0" t="s">
        <v>46</v>
      </c>
      <c r="W274" s="0" t="s">
        <v>46</v>
      </c>
      <c r="X274" s="0" t="s">
        <v>49</v>
      </c>
      <c r="Y274" s="0" t="s">
        <v>64</v>
      </c>
      <c r="Z274" s="0" t="s">
        <v>46</v>
      </c>
      <c r="AA274" s="0" t="s">
        <v>46</v>
      </c>
      <c r="AB274" s="0" t="s">
        <v>46</v>
      </c>
      <c r="AC274" s="0" t="s">
        <v>52</v>
      </c>
      <c r="AD274" s="0" t="s">
        <v>182</v>
      </c>
      <c r="AE274" s="0" t="s">
        <v>46</v>
      </c>
      <c r="AF274" s="0" t="s">
        <v>1719</v>
      </c>
      <c r="AG274" s="0" t="s">
        <v>1720</v>
      </c>
      <c r="AH274" s="0" t="s">
        <v>1721</v>
      </c>
      <c r="AI274" s="0" t="s">
        <v>46</v>
      </c>
      <c r="AJ274" s="0" t="s">
        <v>46</v>
      </c>
      <c r="AK274" s="0" t="s">
        <v>46</v>
      </c>
      <c r="AL274" s="0" t="s">
        <v>46</v>
      </c>
    </row>
    <row r="275" customFormat="false" ht="15" hidden="false" customHeight="false" outlineLevel="0" collapsed="false">
      <c r="B275" s="0" t="str">
        <f aca="false">HYPERLINK("https://genome.ucsc.edu/cgi-bin/hgTracks?db=hg19&amp;position=chr5%3A95757705%2D95757705", "chr5:95757705")</f>
        <v>chr5:95757705</v>
      </c>
      <c r="C275" s="0" t="s">
        <v>135</v>
      </c>
      <c r="D275" s="0" t="n">
        <v>95757705</v>
      </c>
      <c r="E275" s="0" t="n">
        <v>95757705</v>
      </c>
      <c r="F275" s="0" t="s">
        <v>72</v>
      </c>
      <c r="G275" s="0" t="s">
        <v>312</v>
      </c>
      <c r="H275" s="0" t="s">
        <v>1722</v>
      </c>
      <c r="I275" s="0" t="s">
        <v>483</v>
      </c>
      <c r="J275" s="0" t="s">
        <v>1723</v>
      </c>
      <c r="K275" s="0" t="s">
        <v>46</v>
      </c>
      <c r="L275" s="0" t="s">
        <v>46</v>
      </c>
      <c r="M275" s="0" t="str">
        <f aca="false">HYPERLINK("https://www.genecards.org/Search/Keyword?queryString=%5Baliases%5D(%20LOC101929710%20)%20OR%20%5Baliases%5D(%20PCSK1%20)&amp;keywords=LOC101929710,PCSK1", "LOC101929710;PCSK1")</f>
        <v>LOC101929710;PCSK1</v>
      </c>
      <c r="N275" s="0" t="s">
        <v>366</v>
      </c>
      <c r="O275" s="0" t="s">
        <v>46</v>
      </c>
      <c r="P275" s="0" t="s">
        <v>46</v>
      </c>
      <c r="Q275" s="0" t="n">
        <v>-1</v>
      </c>
      <c r="R275" s="0" t="n">
        <v>-1</v>
      </c>
      <c r="S275" s="0" t="n">
        <v>-1</v>
      </c>
      <c r="T275" s="0" t="n">
        <v>-1</v>
      </c>
      <c r="U275" s="0" t="n">
        <v>-1</v>
      </c>
      <c r="V275" s="0" t="s">
        <v>46</v>
      </c>
      <c r="W275" s="0" t="s">
        <v>46</v>
      </c>
      <c r="X275" s="0" t="s">
        <v>46</v>
      </c>
      <c r="Y275" s="0" t="s">
        <v>46</v>
      </c>
      <c r="Z275" s="0" t="s">
        <v>46</v>
      </c>
      <c r="AA275" s="0" t="s">
        <v>46</v>
      </c>
      <c r="AB275" s="0" t="s">
        <v>46</v>
      </c>
      <c r="AC275" s="0" t="s">
        <v>319</v>
      </c>
      <c r="AD275" s="0" t="s">
        <v>182</v>
      </c>
      <c r="AE275" s="0" t="s">
        <v>1724</v>
      </c>
      <c r="AF275" s="0" t="s">
        <v>1725</v>
      </c>
      <c r="AG275" s="0" t="s">
        <v>1726</v>
      </c>
      <c r="AH275" s="0" t="s">
        <v>1727</v>
      </c>
      <c r="AI275" s="0" t="s">
        <v>46</v>
      </c>
      <c r="AJ275" s="0" t="s">
        <v>46</v>
      </c>
      <c r="AK275" s="0" t="s">
        <v>46</v>
      </c>
      <c r="AL275" s="0" t="s">
        <v>46</v>
      </c>
    </row>
    <row r="276" customFormat="false" ht="15" hidden="false" customHeight="false" outlineLevel="0" collapsed="false">
      <c r="B276" s="0" t="str">
        <f aca="false">HYPERLINK("https://genome.ucsc.edu/cgi-bin/hgTracks?db=hg19&amp;position=chr5%3A131298453%2D131298453", "chr5:131298453")</f>
        <v>chr5:131298453</v>
      </c>
      <c r="C276" s="0" t="s">
        <v>135</v>
      </c>
      <c r="D276" s="0" t="n">
        <v>131298453</v>
      </c>
      <c r="E276" s="0" t="n">
        <v>131298453</v>
      </c>
      <c r="F276" s="0" t="s">
        <v>40</v>
      </c>
      <c r="G276" s="0" t="s">
        <v>39</v>
      </c>
      <c r="H276" s="0" t="s">
        <v>1728</v>
      </c>
      <c r="I276" s="0" t="s">
        <v>157</v>
      </c>
      <c r="J276" s="0" t="s">
        <v>1729</v>
      </c>
      <c r="K276" s="0" t="s">
        <v>46</v>
      </c>
      <c r="L276" s="0" t="s">
        <v>46</v>
      </c>
      <c r="M276" s="0" t="str">
        <f aca="false">HYPERLINK("https://www.genecards.org/Search/Keyword?queryString=%5Baliases%5D(%20ACSL6%20)&amp;keywords=ACSL6", "ACSL6")</f>
        <v>ACSL6</v>
      </c>
      <c r="N276" s="0" t="s">
        <v>366</v>
      </c>
      <c r="O276" s="0" t="s">
        <v>46</v>
      </c>
      <c r="P276" s="0" t="s">
        <v>46</v>
      </c>
      <c r="Q276" s="0" t="n">
        <v>-1</v>
      </c>
      <c r="R276" s="0" t="n">
        <v>-1</v>
      </c>
      <c r="S276" s="0" t="n">
        <v>-1</v>
      </c>
      <c r="T276" s="0" t="n">
        <v>-1</v>
      </c>
      <c r="U276" s="0" t="n">
        <v>-1</v>
      </c>
      <c r="V276" s="0" t="s">
        <v>46</v>
      </c>
      <c r="W276" s="0" t="s">
        <v>46</v>
      </c>
      <c r="X276" s="0" t="s">
        <v>340</v>
      </c>
      <c r="Y276" s="0" t="s">
        <v>64</v>
      </c>
      <c r="Z276" s="0" t="s">
        <v>46</v>
      </c>
      <c r="AA276" s="0" t="s">
        <v>46</v>
      </c>
      <c r="AB276" s="0" t="s">
        <v>46</v>
      </c>
      <c r="AC276" s="0" t="s">
        <v>52</v>
      </c>
      <c r="AD276" s="0" t="s">
        <v>53</v>
      </c>
      <c r="AE276" s="0" t="s">
        <v>1730</v>
      </c>
      <c r="AF276" s="0" t="s">
        <v>1731</v>
      </c>
      <c r="AG276" s="0" t="s">
        <v>1732</v>
      </c>
      <c r="AH276" s="0" t="s">
        <v>1733</v>
      </c>
      <c r="AI276" s="0" t="s">
        <v>46</v>
      </c>
      <c r="AJ276" s="0" t="s">
        <v>46</v>
      </c>
      <c r="AK276" s="0" t="s">
        <v>46</v>
      </c>
      <c r="AL276" s="0" t="s">
        <v>46</v>
      </c>
    </row>
    <row r="277" customFormat="false" ht="15" hidden="false" customHeight="false" outlineLevel="0" collapsed="false">
      <c r="B277" s="0" t="str">
        <f aca="false">HYPERLINK("https://genome.ucsc.edu/cgi-bin/hgTracks?db=hg19&amp;position=chr5%3A132221915%2D132221915", "chr5:132221915")</f>
        <v>chr5:132221915</v>
      </c>
      <c r="C277" s="0" t="s">
        <v>135</v>
      </c>
      <c r="D277" s="0" t="n">
        <v>132221915</v>
      </c>
      <c r="E277" s="0" t="n">
        <v>132221915</v>
      </c>
      <c r="F277" s="0" t="s">
        <v>72</v>
      </c>
      <c r="G277" s="0" t="s">
        <v>39</v>
      </c>
      <c r="H277" s="0" t="s">
        <v>1734</v>
      </c>
      <c r="I277" s="0" t="s">
        <v>599</v>
      </c>
      <c r="J277" s="0" t="s">
        <v>1735</v>
      </c>
      <c r="K277" s="0" t="s">
        <v>46</v>
      </c>
      <c r="L277" s="0" t="str">
        <f aca="false">HYPERLINK("https://www.ncbi.nlm.nih.gov/snp/rs577852893", "rs577852893")</f>
        <v>rs577852893</v>
      </c>
      <c r="M277" s="0" t="str">
        <f aca="false">HYPERLINK("https://www.genecards.org/Search/Keyword?queryString=%5Baliases%5D(%20AFF4%20)&amp;keywords=AFF4", "AFF4")</f>
        <v>AFF4</v>
      </c>
      <c r="N277" s="0" t="s">
        <v>63</v>
      </c>
      <c r="O277" s="0" t="s">
        <v>46</v>
      </c>
      <c r="P277" s="0" t="s">
        <v>46</v>
      </c>
      <c r="Q277" s="0" t="n">
        <v>0.0018</v>
      </c>
      <c r="R277" s="0" t="n">
        <v>0.0014</v>
      </c>
      <c r="S277" s="0" t="n">
        <v>0.0012</v>
      </c>
      <c r="T277" s="0" t="n">
        <v>-1</v>
      </c>
      <c r="U277" s="0" t="n">
        <v>0.0016</v>
      </c>
      <c r="V277" s="0" t="s">
        <v>46</v>
      </c>
      <c r="W277" s="0" t="s">
        <v>46</v>
      </c>
      <c r="X277" s="0" t="s">
        <v>385</v>
      </c>
      <c r="Y277" s="0" t="s">
        <v>64</v>
      </c>
      <c r="Z277" s="0" t="s">
        <v>46</v>
      </c>
      <c r="AA277" s="0" t="s">
        <v>46</v>
      </c>
      <c r="AB277" s="0" t="s">
        <v>46</v>
      </c>
      <c r="AC277" s="0" t="s">
        <v>52</v>
      </c>
      <c r="AD277" s="0" t="s">
        <v>53</v>
      </c>
      <c r="AE277" s="0" t="s">
        <v>1736</v>
      </c>
      <c r="AF277" s="0" t="s">
        <v>1737</v>
      </c>
      <c r="AG277" s="0" t="s">
        <v>1738</v>
      </c>
      <c r="AH277" s="0" t="s">
        <v>1739</v>
      </c>
      <c r="AI277" s="0" t="s">
        <v>46</v>
      </c>
      <c r="AJ277" s="0" t="s">
        <v>46</v>
      </c>
      <c r="AK277" s="0" t="s">
        <v>46</v>
      </c>
      <c r="AL277" s="0" t="s">
        <v>46</v>
      </c>
    </row>
    <row r="278" customFormat="false" ht="15" hidden="false" customHeight="false" outlineLevel="0" collapsed="false">
      <c r="B278" s="0" t="str">
        <f aca="false">HYPERLINK("https://genome.ucsc.edu/cgi-bin/hgTracks?db=hg19&amp;position=chr5%3A175796243%2D175796243", "chr5:175796243")</f>
        <v>chr5:175796243</v>
      </c>
      <c r="C278" s="0" t="s">
        <v>135</v>
      </c>
      <c r="D278" s="0" t="n">
        <v>175796243</v>
      </c>
      <c r="E278" s="0" t="n">
        <v>175796243</v>
      </c>
      <c r="F278" s="0" t="s">
        <v>312</v>
      </c>
      <c r="G278" s="0" t="s">
        <v>39</v>
      </c>
      <c r="H278" s="0" t="s">
        <v>1740</v>
      </c>
      <c r="I278" s="0" t="s">
        <v>355</v>
      </c>
      <c r="J278" s="0" t="s">
        <v>1741</v>
      </c>
      <c r="K278" s="0" t="s">
        <v>46</v>
      </c>
      <c r="L278" s="0" t="str">
        <f aca="false">HYPERLINK("https://www.ncbi.nlm.nih.gov/snp/rs753077529", "rs753077529")</f>
        <v>rs753077529</v>
      </c>
      <c r="M278" s="0" t="str">
        <f aca="false">HYPERLINK("https://www.genecards.org/Search/Keyword?queryString=%5Baliases%5D(%20ARL10%20)&amp;keywords=ARL10", "ARL10")</f>
        <v>ARL10</v>
      </c>
      <c r="N278" s="0" t="s">
        <v>601</v>
      </c>
      <c r="O278" s="0" t="s">
        <v>1742</v>
      </c>
      <c r="P278" s="0" t="s">
        <v>1743</v>
      </c>
      <c r="Q278" s="0" t="n">
        <v>0.00361</v>
      </c>
      <c r="R278" s="0" t="n">
        <v>0.0015</v>
      </c>
      <c r="S278" s="0" t="n">
        <v>0.002</v>
      </c>
      <c r="T278" s="0" t="n">
        <v>-1</v>
      </c>
      <c r="U278" s="0" t="n">
        <v>0.0013</v>
      </c>
      <c r="V278" s="0" t="s">
        <v>46</v>
      </c>
      <c r="W278" s="0" t="s">
        <v>46</v>
      </c>
      <c r="X278" s="0" t="s">
        <v>46</v>
      </c>
      <c r="Y278" s="0" t="s">
        <v>46</v>
      </c>
      <c r="Z278" s="0" t="s">
        <v>46</v>
      </c>
      <c r="AA278" s="0" t="s">
        <v>46</v>
      </c>
      <c r="AB278" s="0" t="s">
        <v>46</v>
      </c>
      <c r="AC278" s="0" t="s">
        <v>52</v>
      </c>
      <c r="AD278" s="0" t="s">
        <v>53</v>
      </c>
      <c r="AE278" s="0" t="s">
        <v>1744</v>
      </c>
      <c r="AF278" s="0" t="s">
        <v>1745</v>
      </c>
      <c r="AG278" s="0" t="s">
        <v>46</v>
      </c>
      <c r="AH278" s="0" t="s">
        <v>46</v>
      </c>
      <c r="AI278" s="0" t="s">
        <v>46</v>
      </c>
      <c r="AJ278" s="0" t="s">
        <v>46</v>
      </c>
      <c r="AK278" s="0" t="s">
        <v>46</v>
      </c>
      <c r="AL278" s="0" t="s">
        <v>46</v>
      </c>
    </row>
    <row r="279" customFormat="false" ht="15" hidden="false" customHeight="false" outlineLevel="0" collapsed="false">
      <c r="B279" s="0" t="str">
        <f aca="false">HYPERLINK("https://genome.ucsc.edu/cgi-bin/hgTracks?db=hg19&amp;position=chr6%3A10907644%2D10907644", "chr6:10907644")</f>
        <v>chr6:10907644</v>
      </c>
      <c r="C279" s="0" t="s">
        <v>255</v>
      </c>
      <c r="D279" s="0" t="n">
        <v>10907644</v>
      </c>
      <c r="E279" s="0" t="n">
        <v>10907644</v>
      </c>
      <c r="F279" s="0" t="s">
        <v>58</v>
      </c>
      <c r="G279" s="0" t="s">
        <v>72</v>
      </c>
      <c r="H279" s="0" t="s">
        <v>1746</v>
      </c>
      <c r="I279" s="0" t="s">
        <v>637</v>
      </c>
      <c r="J279" s="0" t="s">
        <v>1255</v>
      </c>
      <c r="K279" s="0" t="s">
        <v>46</v>
      </c>
      <c r="L279" s="0" t="str">
        <f aca="false">HYPERLINK("https://www.ncbi.nlm.nih.gov/snp/rs116022603", "rs116022603")</f>
        <v>rs116022603</v>
      </c>
      <c r="M279" s="0" t="str">
        <f aca="false">HYPERLINK("https://www.genecards.org/Search/Keyword?queryString=%5Baliases%5D(%20SYCP2L%20)&amp;keywords=SYCP2L", "SYCP2L")</f>
        <v>SYCP2L</v>
      </c>
      <c r="N279" s="0" t="s">
        <v>63</v>
      </c>
      <c r="O279" s="0" t="s">
        <v>46</v>
      </c>
      <c r="P279" s="0" t="s">
        <v>46</v>
      </c>
      <c r="Q279" s="0" t="n">
        <v>0.0132</v>
      </c>
      <c r="R279" s="0" t="n">
        <v>0.0102</v>
      </c>
      <c r="S279" s="0" t="n">
        <v>0.0104</v>
      </c>
      <c r="T279" s="0" t="n">
        <v>-1</v>
      </c>
      <c r="U279" s="0" t="n">
        <v>0.0121</v>
      </c>
      <c r="V279" s="0" t="s">
        <v>46</v>
      </c>
      <c r="W279" s="0" t="s">
        <v>46</v>
      </c>
      <c r="X279" s="0" t="s">
        <v>385</v>
      </c>
      <c r="Y279" s="0" t="s">
        <v>64</v>
      </c>
      <c r="Z279" s="0" t="s">
        <v>46</v>
      </c>
      <c r="AA279" s="0" t="s">
        <v>46</v>
      </c>
      <c r="AB279" s="0" t="s">
        <v>46</v>
      </c>
      <c r="AC279" s="0" t="s">
        <v>52</v>
      </c>
      <c r="AD279" s="0" t="s">
        <v>53</v>
      </c>
      <c r="AE279" s="0" t="s">
        <v>1747</v>
      </c>
      <c r="AF279" s="0" t="s">
        <v>1748</v>
      </c>
      <c r="AG279" s="0" t="s">
        <v>46</v>
      </c>
      <c r="AH279" s="0" t="s">
        <v>46</v>
      </c>
      <c r="AI279" s="0" t="s">
        <v>46</v>
      </c>
      <c r="AJ279" s="0" t="s">
        <v>46</v>
      </c>
      <c r="AK279" s="0" t="s">
        <v>46</v>
      </c>
      <c r="AL279" s="0" t="s">
        <v>46</v>
      </c>
    </row>
    <row r="280" customFormat="false" ht="15" hidden="false" customHeight="false" outlineLevel="0" collapsed="false">
      <c r="B280" s="0" t="str">
        <f aca="false">HYPERLINK("https://genome.ucsc.edu/cgi-bin/hgTracks?db=hg19&amp;position=chr6%3A17633077%2D17633077", "chr6:17633077")</f>
        <v>chr6:17633077</v>
      </c>
      <c r="C280" s="0" t="s">
        <v>255</v>
      </c>
      <c r="D280" s="0" t="n">
        <v>17633077</v>
      </c>
      <c r="E280" s="0" t="n">
        <v>17633077</v>
      </c>
      <c r="F280" s="0" t="s">
        <v>312</v>
      </c>
      <c r="G280" s="0" t="s">
        <v>1749</v>
      </c>
      <c r="H280" s="0" t="s">
        <v>1750</v>
      </c>
      <c r="I280" s="0" t="s">
        <v>483</v>
      </c>
      <c r="J280" s="0" t="s">
        <v>1751</v>
      </c>
      <c r="K280" s="0" t="s">
        <v>46</v>
      </c>
      <c r="L280" s="0" t="s">
        <v>46</v>
      </c>
      <c r="M280" s="0" t="str">
        <f aca="false">HYPERLINK("https://www.genecards.org/Search/Keyword?queryString=%5Baliases%5D(%20NUP153%20)&amp;keywords=NUP153", "NUP153")</f>
        <v>NUP153</v>
      </c>
      <c r="N280" s="0" t="s">
        <v>45</v>
      </c>
      <c r="O280" s="0" t="s">
        <v>46</v>
      </c>
      <c r="P280" s="0" t="s">
        <v>1752</v>
      </c>
      <c r="Q280" s="0" t="n">
        <v>0.0251</v>
      </c>
      <c r="R280" s="0" t="n">
        <v>0.025</v>
      </c>
      <c r="S280" s="0" t="n">
        <v>0.0277</v>
      </c>
      <c r="T280" s="0" t="n">
        <v>-1</v>
      </c>
      <c r="U280" s="0" t="n">
        <v>0.0263</v>
      </c>
      <c r="V280" s="0" t="s">
        <v>46</v>
      </c>
      <c r="W280" s="0" t="s">
        <v>46</v>
      </c>
      <c r="X280" s="0" t="s">
        <v>46</v>
      </c>
      <c r="Y280" s="0" t="s">
        <v>46</v>
      </c>
      <c r="Z280" s="0" t="s">
        <v>46</v>
      </c>
      <c r="AA280" s="0" t="s">
        <v>46</v>
      </c>
      <c r="AB280" s="0" t="s">
        <v>46</v>
      </c>
      <c r="AC280" s="0" t="s">
        <v>319</v>
      </c>
      <c r="AD280" s="0" t="s">
        <v>53</v>
      </c>
      <c r="AE280" s="0" t="s">
        <v>1753</v>
      </c>
      <c r="AF280" s="0" t="s">
        <v>1754</v>
      </c>
      <c r="AG280" s="0" t="s">
        <v>1755</v>
      </c>
      <c r="AH280" s="0" t="s">
        <v>46</v>
      </c>
      <c r="AI280" s="0" t="s">
        <v>46</v>
      </c>
      <c r="AJ280" s="0" t="s">
        <v>46</v>
      </c>
      <c r="AK280" s="0" t="s">
        <v>46</v>
      </c>
      <c r="AL280" s="0" t="s">
        <v>46</v>
      </c>
    </row>
    <row r="281" customFormat="false" ht="15" hidden="false" customHeight="false" outlineLevel="0" collapsed="false">
      <c r="B281" s="0" t="str">
        <f aca="false">HYPERLINK("https://genome.ucsc.edu/cgi-bin/hgTracks?db=hg19&amp;position=chr6%3A18207828%2D18207828", "chr6:18207828")</f>
        <v>chr6:18207828</v>
      </c>
      <c r="C281" s="0" t="s">
        <v>255</v>
      </c>
      <c r="D281" s="0" t="n">
        <v>18207828</v>
      </c>
      <c r="E281" s="0" t="n">
        <v>18207828</v>
      </c>
      <c r="F281" s="0" t="s">
        <v>58</v>
      </c>
      <c r="G281" s="0" t="s">
        <v>72</v>
      </c>
      <c r="H281" s="0" t="s">
        <v>1756</v>
      </c>
      <c r="I281" s="0" t="s">
        <v>1166</v>
      </c>
      <c r="J281" s="0" t="s">
        <v>1757</v>
      </c>
      <c r="K281" s="0" t="s">
        <v>46</v>
      </c>
      <c r="L281" s="0" t="str">
        <f aca="false">HYPERLINK("https://www.ncbi.nlm.nih.gov/snp/rs75345052", "rs75345052")</f>
        <v>rs75345052</v>
      </c>
      <c r="M281" s="0" t="str">
        <f aca="false">HYPERLINK("https://www.genecards.org/Search/Keyword?queryString=%5Baliases%5D(%20KDM1B%20)&amp;keywords=KDM1B", "KDM1B")</f>
        <v>KDM1B</v>
      </c>
      <c r="N281" s="0" t="s">
        <v>63</v>
      </c>
      <c r="O281" s="0" t="s">
        <v>46</v>
      </c>
      <c r="P281" s="0" t="s">
        <v>46</v>
      </c>
      <c r="Q281" s="0" t="n">
        <v>0.0129</v>
      </c>
      <c r="R281" s="0" t="n">
        <v>0.01</v>
      </c>
      <c r="S281" s="0" t="n">
        <v>0.0095</v>
      </c>
      <c r="T281" s="0" t="n">
        <v>-1</v>
      </c>
      <c r="U281" s="0" t="n">
        <v>0.0109</v>
      </c>
      <c r="V281" s="0" t="s">
        <v>46</v>
      </c>
      <c r="W281" s="0" t="s">
        <v>46</v>
      </c>
      <c r="X281" s="0" t="s">
        <v>49</v>
      </c>
      <c r="Y281" s="0" t="s">
        <v>64</v>
      </c>
      <c r="Z281" s="0" t="s">
        <v>46</v>
      </c>
      <c r="AA281" s="0" t="s">
        <v>46</v>
      </c>
      <c r="AB281" s="0" t="s">
        <v>46</v>
      </c>
      <c r="AC281" s="0" t="s">
        <v>52</v>
      </c>
      <c r="AD281" s="0" t="s">
        <v>53</v>
      </c>
      <c r="AE281" s="0" t="s">
        <v>1758</v>
      </c>
      <c r="AF281" s="0" t="s">
        <v>1759</v>
      </c>
      <c r="AG281" s="0" t="s">
        <v>1760</v>
      </c>
      <c r="AH281" s="0" t="s">
        <v>46</v>
      </c>
      <c r="AI281" s="0" t="s">
        <v>46</v>
      </c>
      <c r="AJ281" s="0" t="s">
        <v>46</v>
      </c>
      <c r="AK281" s="0" t="s">
        <v>46</v>
      </c>
      <c r="AL281" s="0" t="s">
        <v>46</v>
      </c>
    </row>
    <row r="282" customFormat="false" ht="15" hidden="false" customHeight="false" outlineLevel="0" collapsed="false">
      <c r="B282" s="0" t="str">
        <f aca="false">HYPERLINK("https://genome.ucsc.edu/cgi-bin/hgTracks?db=hg19&amp;position=chr6%3A20112976%2D20112976", "chr6:20112976")</f>
        <v>chr6:20112976</v>
      </c>
      <c r="C282" s="0" t="s">
        <v>255</v>
      </c>
      <c r="D282" s="0" t="n">
        <v>20112976</v>
      </c>
      <c r="E282" s="0" t="n">
        <v>20112976</v>
      </c>
      <c r="F282" s="0" t="s">
        <v>39</v>
      </c>
      <c r="G282" s="0" t="s">
        <v>40</v>
      </c>
      <c r="H282" s="0" t="s">
        <v>1761</v>
      </c>
      <c r="I282" s="0" t="s">
        <v>1293</v>
      </c>
      <c r="J282" s="0" t="s">
        <v>1762</v>
      </c>
      <c r="K282" s="0" t="s">
        <v>46</v>
      </c>
      <c r="L282" s="0" t="str">
        <f aca="false">HYPERLINK("https://www.ncbi.nlm.nih.gov/snp/rs551621592", "rs551621592")</f>
        <v>rs551621592</v>
      </c>
      <c r="M282" s="0" t="str">
        <f aca="false">HYPERLINK("https://www.genecards.org/Search/Keyword?queryString=%5Baliases%5D(%20MBOAT1%20)&amp;keywords=MBOAT1", "MBOAT1")</f>
        <v>MBOAT1</v>
      </c>
      <c r="N282" s="0" t="s">
        <v>63</v>
      </c>
      <c r="O282" s="0" t="s">
        <v>46</v>
      </c>
      <c r="P282" s="0" t="s">
        <v>46</v>
      </c>
      <c r="Q282" s="0" t="n">
        <v>0.001</v>
      </c>
      <c r="R282" s="0" t="n">
        <v>0.0007</v>
      </c>
      <c r="S282" s="0" t="n">
        <v>0.0007</v>
      </c>
      <c r="T282" s="0" t="n">
        <v>-1</v>
      </c>
      <c r="U282" s="0" t="n">
        <v>0.0011</v>
      </c>
      <c r="V282" s="0" t="s">
        <v>46</v>
      </c>
      <c r="W282" s="0" t="s">
        <v>46</v>
      </c>
      <c r="X282" s="0" t="s">
        <v>49</v>
      </c>
      <c r="Y282" s="0" t="s">
        <v>64</v>
      </c>
      <c r="Z282" s="0" t="s">
        <v>46</v>
      </c>
      <c r="AA282" s="0" t="s">
        <v>46</v>
      </c>
      <c r="AB282" s="0" t="s">
        <v>46</v>
      </c>
      <c r="AC282" s="0" t="s">
        <v>52</v>
      </c>
      <c r="AD282" s="0" t="s">
        <v>53</v>
      </c>
      <c r="AE282" s="0" t="s">
        <v>1763</v>
      </c>
      <c r="AF282" s="0" t="s">
        <v>1764</v>
      </c>
      <c r="AG282" s="0" t="s">
        <v>1765</v>
      </c>
      <c r="AH282" s="0" t="s">
        <v>46</v>
      </c>
      <c r="AI282" s="0" t="s">
        <v>46</v>
      </c>
      <c r="AJ282" s="0" t="s">
        <v>46</v>
      </c>
      <c r="AK282" s="0" t="s">
        <v>46</v>
      </c>
      <c r="AL282" s="0" t="s">
        <v>46</v>
      </c>
    </row>
    <row r="283" customFormat="false" ht="15" hidden="false" customHeight="false" outlineLevel="0" collapsed="false">
      <c r="B283" s="0" t="str">
        <f aca="false">HYPERLINK("https://genome.ucsc.edu/cgi-bin/hgTracks?db=hg19&amp;position=chr6%3A30890158%2D30890158", "chr6:30890158")</f>
        <v>chr6:30890158</v>
      </c>
      <c r="C283" s="0" t="s">
        <v>255</v>
      </c>
      <c r="D283" s="0" t="n">
        <v>30890158</v>
      </c>
      <c r="E283" s="0" t="n">
        <v>30890158</v>
      </c>
      <c r="F283" s="0" t="s">
        <v>58</v>
      </c>
      <c r="G283" s="0" t="s">
        <v>72</v>
      </c>
      <c r="H283" s="0" t="s">
        <v>1766</v>
      </c>
      <c r="I283" s="0" t="s">
        <v>225</v>
      </c>
      <c r="J283" s="0" t="s">
        <v>1767</v>
      </c>
      <c r="K283" s="0" t="s">
        <v>46</v>
      </c>
      <c r="L283" s="0" t="str">
        <f aca="false">HYPERLINK("https://www.ncbi.nlm.nih.gov/snp/rs143118915", "rs143118915")</f>
        <v>rs143118915</v>
      </c>
      <c r="M283" s="0" t="str">
        <f aca="false">HYPERLINK("https://www.genecards.org/Search/Keyword?queryString=%5Baliases%5D(%20VARS2%20)&amp;keywords=VARS2", "VARS2")</f>
        <v>VARS2</v>
      </c>
      <c r="N283" s="0" t="s">
        <v>1413</v>
      </c>
      <c r="O283" s="0" t="s">
        <v>46</v>
      </c>
      <c r="P283" s="0" t="s">
        <v>1768</v>
      </c>
      <c r="Q283" s="0" t="n">
        <v>0.0222</v>
      </c>
      <c r="R283" s="0" t="n">
        <v>0.022</v>
      </c>
      <c r="S283" s="0" t="n">
        <v>0.0243</v>
      </c>
      <c r="T283" s="0" t="n">
        <v>-1</v>
      </c>
      <c r="U283" s="0" t="n">
        <v>0.0253</v>
      </c>
      <c r="V283" s="0" t="s">
        <v>46</v>
      </c>
      <c r="W283" s="0" t="s">
        <v>46</v>
      </c>
      <c r="X283" s="0" t="s">
        <v>340</v>
      </c>
      <c r="Y283" s="0" t="s">
        <v>64</v>
      </c>
      <c r="Z283" s="0" t="s">
        <v>46</v>
      </c>
      <c r="AA283" s="0" t="s">
        <v>46</v>
      </c>
      <c r="AB283" s="0" t="s">
        <v>46</v>
      </c>
      <c r="AC283" s="0" t="s">
        <v>52</v>
      </c>
      <c r="AD283" s="0" t="s">
        <v>53</v>
      </c>
      <c r="AE283" s="0" t="s">
        <v>1769</v>
      </c>
      <c r="AF283" s="0" t="s">
        <v>1770</v>
      </c>
      <c r="AG283" s="0" t="s">
        <v>46</v>
      </c>
      <c r="AH283" s="0" t="s">
        <v>1771</v>
      </c>
      <c r="AI283" s="0" t="s">
        <v>46</v>
      </c>
      <c r="AJ283" s="0" t="s">
        <v>46</v>
      </c>
      <c r="AK283" s="0" t="s">
        <v>1772</v>
      </c>
      <c r="AL283" s="0" t="s">
        <v>46</v>
      </c>
    </row>
    <row r="284" customFormat="false" ht="15" hidden="false" customHeight="false" outlineLevel="0" collapsed="false">
      <c r="B284" s="0" t="str">
        <f aca="false">HYPERLINK("https://genome.ucsc.edu/cgi-bin/hgTracks?db=hg19&amp;position=chr6%3A30954693%2D30954693", "chr6:30954693")</f>
        <v>chr6:30954693</v>
      </c>
      <c r="C284" s="0" t="s">
        <v>255</v>
      </c>
      <c r="D284" s="0" t="n">
        <v>30954693</v>
      </c>
      <c r="E284" s="0" t="n">
        <v>30954693</v>
      </c>
      <c r="F284" s="0" t="s">
        <v>312</v>
      </c>
      <c r="G284" s="0" t="s">
        <v>1635</v>
      </c>
      <c r="H284" s="0" t="s">
        <v>1773</v>
      </c>
      <c r="I284" s="0" t="s">
        <v>1774</v>
      </c>
      <c r="J284" s="0" t="s">
        <v>1775</v>
      </c>
      <c r="K284" s="0" t="s">
        <v>46</v>
      </c>
      <c r="L284" s="0" t="str">
        <f aca="false">HYPERLINK("https://www.ncbi.nlm.nih.gov/snp/rs781771855", "rs781771855")</f>
        <v>rs781771855</v>
      </c>
      <c r="M284" s="0" t="str">
        <f aca="false">HYPERLINK("https://www.genecards.org/Search/Keyword?queryString=%5Baliases%5D(%20MUC21%20)&amp;keywords=MUC21", "MUC21")</f>
        <v>MUC21</v>
      </c>
      <c r="N284" s="0" t="s">
        <v>77</v>
      </c>
      <c r="O284" s="0" t="s">
        <v>357</v>
      </c>
      <c r="P284" s="0" t="s">
        <v>1776</v>
      </c>
      <c r="Q284" s="0" t="n">
        <v>0.0048</v>
      </c>
      <c r="R284" s="0" t="n">
        <v>0.0037</v>
      </c>
      <c r="S284" s="0" t="n">
        <v>0.0006</v>
      </c>
      <c r="T284" s="0" t="n">
        <v>-1</v>
      </c>
      <c r="U284" s="0" t="n">
        <v>0.001</v>
      </c>
      <c r="V284" s="0" t="s">
        <v>46</v>
      </c>
      <c r="W284" s="0" t="s">
        <v>46</v>
      </c>
      <c r="X284" s="0" t="s">
        <v>46</v>
      </c>
      <c r="Y284" s="0" t="s">
        <v>46</v>
      </c>
      <c r="Z284" s="0" t="s">
        <v>46</v>
      </c>
      <c r="AA284" s="0" t="s">
        <v>46</v>
      </c>
      <c r="AB284" s="0" t="s">
        <v>46</v>
      </c>
      <c r="AC284" s="0" t="s">
        <v>52</v>
      </c>
      <c r="AD284" s="0" t="s">
        <v>94</v>
      </c>
      <c r="AE284" s="0" t="s">
        <v>1777</v>
      </c>
      <c r="AF284" s="0" t="s">
        <v>1778</v>
      </c>
      <c r="AG284" s="0" t="s">
        <v>46</v>
      </c>
      <c r="AH284" s="0" t="s">
        <v>46</v>
      </c>
      <c r="AI284" s="0" t="s">
        <v>46</v>
      </c>
      <c r="AJ284" s="0" t="s">
        <v>46</v>
      </c>
      <c r="AK284" s="0" t="s">
        <v>1772</v>
      </c>
      <c r="AL284" s="0" t="s">
        <v>46</v>
      </c>
    </row>
    <row r="285" customFormat="false" ht="15" hidden="false" customHeight="false" outlineLevel="0" collapsed="false">
      <c r="B285" s="0" t="str">
        <f aca="false">HYPERLINK("https://genome.ucsc.edu/cgi-bin/hgTracks?db=hg19&amp;position=chr6%3A30954694%2D30954694", "chr6:30954694")</f>
        <v>chr6:30954694</v>
      </c>
      <c r="C285" s="0" t="s">
        <v>255</v>
      </c>
      <c r="D285" s="0" t="n">
        <v>30954694</v>
      </c>
      <c r="E285" s="0" t="n">
        <v>30954694</v>
      </c>
      <c r="F285" s="0" t="s">
        <v>312</v>
      </c>
      <c r="G285" s="0" t="s">
        <v>1779</v>
      </c>
      <c r="H285" s="0" t="s">
        <v>1780</v>
      </c>
      <c r="I285" s="0" t="s">
        <v>1781</v>
      </c>
      <c r="J285" s="0" t="s">
        <v>1782</v>
      </c>
      <c r="K285" s="0" t="s">
        <v>46</v>
      </c>
      <c r="L285" s="0" t="str">
        <f aca="false">HYPERLINK("https://www.ncbi.nlm.nih.gov/snp/rs746182888", "rs746182888")</f>
        <v>rs746182888</v>
      </c>
      <c r="M285" s="0" t="str">
        <f aca="false">HYPERLINK("https://www.genecards.org/Search/Keyword?queryString=%5Baliases%5D(%20MUC21%20)&amp;keywords=MUC21", "MUC21")</f>
        <v>MUC21</v>
      </c>
      <c r="N285" s="0" t="s">
        <v>77</v>
      </c>
      <c r="O285" s="0" t="s">
        <v>357</v>
      </c>
      <c r="P285" s="0" t="s">
        <v>1783</v>
      </c>
      <c r="Q285" s="0" t="n">
        <v>0.0091</v>
      </c>
      <c r="R285" s="0" t="n">
        <v>0.0084</v>
      </c>
      <c r="S285" s="0" t="n">
        <v>0.0045</v>
      </c>
      <c r="T285" s="0" t="n">
        <v>-1</v>
      </c>
      <c r="U285" s="0" t="n">
        <v>0.0096</v>
      </c>
      <c r="V285" s="0" t="s">
        <v>46</v>
      </c>
      <c r="W285" s="0" t="s">
        <v>46</v>
      </c>
      <c r="X285" s="0" t="s">
        <v>46</v>
      </c>
      <c r="Y285" s="0" t="s">
        <v>46</v>
      </c>
      <c r="Z285" s="0" t="s">
        <v>46</v>
      </c>
      <c r="AA285" s="0" t="s">
        <v>46</v>
      </c>
      <c r="AB285" s="0" t="s">
        <v>46</v>
      </c>
      <c r="AC285" s="0" t="s">
        <v>52</v>
      </c>
      <c r="AD285" s="0" t="s">
        <v>94</v>
      </c>
      <c r="AE285" s="0" t="s">
        <v>1777</v>
      </c>
      <c r="AF285" s="0" t="s">
        <v>1778</v>
      </c>
      <c r="AG285" s="0" t="s">
        <v>46</v>
      </c>
      <c r="AH285" s="0" t="s">
        <v>46</v>
      </c>
      <c r="AI285" s="0" t="s">
        <v>46</v>
      </c>
      <c r="AJ285" s="0" t="s">
        <v>46</v>
      </c>
      <c r="AK285" s="0" t="s">
        <v>1772</v>
      </c>
      <c r="AL285" s="0" t="s">
        <v>46</v>
      </c>
    </row>
    <row r="286" customFormat="false" ht="15" hidden="false" customHeight="false" outlineLevel="0" collapsed="false">
      <c r="B286" s="0" t="str">
        <f aca="false">HYPERLINK("https://genome.ucsc.edu/cgi-bin/hgTracks?db=hg19&amp;position=chr6%3A32610152%2D32610152", "chr6:32610152")</f>
        <v>chr6:32610152</v>
      </c>
      <c r="C286" s="0" t="s">
        <v>255</v>
      </c>
      <c r="D286" s="0" t="n">
        <v>32610152</v>
      </c>
      <c r="E286" s="0" t="n">
        <v>32610152</v>
      </c>
      <c r="F286" s="0" t="s">
        <v>312</v>
      </c>
      <c r="G286" s="0" t="s">
        <v>39</v>
      </c>
      <c r="H286" s="0" t="s">
        <v>1590</v>
      </c>
      <c r="I286" s="0" t="s">
        <v>1202</v>
      </c>
      <c r="J286" s="0" t="s">
        <v>1784</v>
      </c>
      <c r="K286" s="0" t="s">
        <v>46</v>
      </c>
      <c r="L286" s="0" t="str">
        <f aca="false">HYPERLINK("https://www.ncbi.nlm.nih.gov/snp/rs528756658", "rs528756658")</f>
        <v>rs528756658</v>
      </c>
      <c r="M286" s="0" t="str">
        <f aca="false">HYPERLINK("https://www.genecards.org/Search/Keyword?queryString=%5Baliases%5D(%20HLA-DQA1%20)&amp;keywords=HLA-DQA1", "HLA-DQA1")</f>
        <v>HLA-DQA1</v>
      </c>
      <c r="N286" s="0" t="s">
        <v>601</v>
      </c>
      <c r="O286" s="0" t="s">
        <v>1742</v>
      </c>
      <c r="P286" s="0" t="s">
        <v>1785</v>
      </c>
      <c r="Q286" s="0" t="n">
        <v>0.025496</v>
      </c>
      <c r="R286" s="0" t="n">
        <v>0.0195</v>
      </c>
      <c r="S286" s="0" t="n">
        <v>0.0198</v>
      </c>
      <c r="T286" s="0" t="n">
        <v>-1</v>
      </c>
      <c r="U286" s="0" t="n">
        <v>0.0174</v>
      </c>
      <c r="V286" s="0" t="s">
        <v>46</v>
      </c>
      <c r="W286" s="0" t="s">
        <v>46</v>
      </c>
      <c r="X286" s="0" t="s">
        <v>46</v>
      </c>
      <c r="Y286" s="0" t="s">
        <v>46</v>
      </c>
      <c r="Z286" s="0" t="s">
        <v>46</v>
      </c>
      <c r="AA286" s="0" t="s">
        <v>46</v>
      </c>
      <c r="AB286" s="0" t="s">
        <v>46</v>
      </c>
      <c r="AC286" s="0" t="s">
        <v>52</v>
      </c>
      <c r="AD286" s="0" t="s">
        <v>53</v>
      </c>
      <c r="AE286" s="0" t="s">
        <v>1786</v>
      </c>
      <c r="AF286" s="0" t="s">
        <v>1787</v>
      </c>
      <c r="AG286" s="0" t="s">
        <v>1788</v>
      </c>
      <c r="AH286" s="0" t="s">
        <v>46</v>
      </c>
      <c r="AI286" s="0" t="s">
        <v>46</v>
      </c>
      <c r="AJ286" s="0" t="s">
        <v>46</v>
      </c>
      <c r="AK286" s="0" t="s">
        <v>1772</v>
      </c>
      <c r="AL286" s="0" t="s">
        <v>46</v>
      </c>
    </row>
    <row r="287" customFormat="false" ht="15" hidden="false" customHeight="false" outlineLevel="0" collapsed="false">
      <c r="B287" s="0" t="str">
        <f aca="false">HYPERLINK("https://genome.ucsc.edu/cgi-bin/hgTracks?db=hg19&amp;position=chr6%3A33400061%2D33400061", "chr6:33400061")</f>
        <v>chr6:33400061</v>
      </c>
      <c r="C287" s="0" t="s">
        <v>255</v>
      </c>
      <c r="D287" s="0" t="n">
        <v>33400061</v>
      </c>
      <c r="E287" s="0" t="n">
        <v>33400061</v>
      </c>
      <c r="F287" s="0" t="s">
        <v>58</v>
      </c>
      <c r="G287" s="0" t="s">
        <v>72</v>
      </c>
      <c r="H287" s="0" t="s">
        <v>1424</v>
      </c>
      <c r="I287" s="0" t="s">
        <v>1789</v>
      </c>
      <c r="J287" s="0" t="s">
        <v>1790</v>
      </c>
      <c r="K287" s="0" t="s">
        <v>46</v>
      </c>
      <c r="L287" s="0" t="str">
        <f aca="false">HYPERLINK("https://www.ncbi.nlm.nih.gov/snp/rs114505996", "rs114505996")</f>
        <v>rs114505996</v>
      </c>
      <c r="M287" s="0" t="str">
        <f aca="false">HYPERLINK("https://www.genecards.org/Search/Keyword?queryString=%5Baliases%5D(%20SYNGAP1%20)&amp;keywords=SYNGAP1", "SYNGAP1")</f>
        <v>SYNGAP1</v>
      </c>
      <c r="N287" s="0" t="s">
        <v>63</v>
      </c>
      <c r="O287" s="0" t="s">
        <v>46</v>
      </c>
      <c r="P287" s="0" t="s">
        <v>46</v>
      </c>
      <c r="Q287" s="0" t="n">
        <v>0.0227</v>
      </c>
      <c r="R287" s="0" t="n">
        <v>0.0217</v>
      </c>
      <c r="S287" s="0" t="n">
        <v>0.0219</v>
      </c>
      <c r="T287" s="0" t="n">
        <v>-1</v>
      </c>
      <c r="U287" s="0" t="n">
        <v>0.0249</v>
      </c>
      <c r="V287" s="0" t="s">
        <v>46</v>
      </c>
      <c r="W287" s="0" t="s">
        <v>46</v>
      </c>
      <c r="X287" s="0" t="s">
        <v>385</v>
      </c>
      <c r="Y287" s="0" t="s">
        <v>64</v>
      </c>
      <c r="Z287" s="0" t="s">
        <v>46</v>
      </c>
      <c r="AA287" s="0" t="s">
        <v>46</v>
      </c>
      <c r="AB287" s="0" t="s">
        <v>46</v>
      </c>
      <c r="AC287" s="0" t="s">
        <v>52</v>
      </c>
      <c r="AD287" s="0" t="s">
        <v>53</v>
      </c>
      <c r="AE287" s="0" t="s">
        <v>1791</v>
      </c>
      <c r="AF287" s="0" t="s">
        <v>1792</v>
      </c>
      <c r="AG287" s="0" t="s">
        <v>1793</v>
      </c>
      <c r="AH287" s="0" t="s">
        <v>1794</v>
      </c>
      <c r="AI287" s="0" t="s">
        <v>46</v>
      </c>
      <c r="AJ287" s="0" t="s">
        <v>46</v>
      </c>
      <c r="AK287" s="0" t="s">
        <v>1772</v>
      </c>
      <c r="AL287" s="0" t="s">
        <v>46</v>
      </c>
    </row>
    <row r="288" customFormat="false" ht="15" hidden="false" customHeight="false" outlineLevel="0" collapsed="false">
      <c r="B288" s="0" t="str">
        <f aca="false">HYPERLINK("https://genome.ucsc.edu/cgi-bin/hgTracks?db=hg19&amp;position=chr6%3A33655968%2D33655968", "chr6:33655968")</f>
        <v>chr6:33655968</v>
      </c>
      <c r="C288" s="0" t="s">
        <v>255</v>
      </c>
      <c r="D288" s="0" t="n">
        <v>33655968</v>
      </c>
      <c r="E288" s="0" t="n">
        <v>33655968</v>
      </c>
      <c r="F288" s="0" t="s">
        <v>58</v>
      </c>
      <c r="G288" s="0" t="s">
        <v>72</v>
      </c>
      <c r="H288" s="0" t="s">
        <v>1795</v>
      </c>
      <c r="I288" s="0" t="s">
        <v>462</v>
      </c>
      <c r="J288" s="0" t="s">
        <v>1796</v>
      </c>
      <c r="K288" s="0" t="s">
        <v>46</v>
      </c>
      <c r="L288" s="0" t="str">
        <f aca="false">HYPERLINK("https://www.ncbi.nlm.nih.gov/snp/rs147230646", "rs147230646")</f>
        <v>rs147230646</v>
      </c>
      <c r="M288" s="0" t="str">
        <f aca="false">HYPERLINK("https://www.genecards.org/Search/Keyword?queryString=%5Baliases%5D(%20ITPR3%20)&amp;keywords=ITPR3", "ITPR3")</f>
        <v>ITPR3</v>
      </c>
      <c r="N288" s="0" t="s">
        <v>63</v>
      </c>
      <c r="O288" s="0" t="s">
        <v>46</v>
      </c>
      <c r="P288" s="0" t="s">
        <v>46</v>
      </c>
      <c r="Q288" s="0" t="n">
        <v>0.001</v>
      </c>
      <c r="R288" s="0" t="n">
        <v>0.0002</v>
      </c>
      <c r="S288" s="0" t="n">
        <v>0.0004</v>
      </c>
      <c r="T288" s="0" t="n">
        <v>-1</v>
      </c>
      <c r="U288" s="0" t="n">
        <v>-1</v>
      </c>
      <c r="V288" s="0" t="s">
        <v>46</v>
      </c>
      <c r="W288" s="0" t="s">
        <v>46</v>
      </c>
      <c r="X288" s="0" t="s">
        <v>385</v>
      </c>
      <c r="Y288" s="0" t="s">
        <v>64</v>
      </c>
      <c r="Z288" s="0" t="s">
        <v>46</v>
      </c>
      <c r="AA288" s="0" t="s">
        <v>46</v>
      </c>
      <c r="AB288" s="0" t="s">
        <v>46</v>
      </c>
      <c r="AC288" s="0" t="s">
        <v>52</v>
      </c>
      <c r="AD288" s="0" t="s">
        <v>53</v>
      </c>
      <c r="AE288" s="0" t="s">
        <v>1797</v>
      </c>
      <c r="AF288" s="0" t="s">
        <v>1798</v>
      </c>
      <c r="AG288" s="0" t="s">
        <v>1799</v>
      </c>
      <c r="AH288" s="0" t="s">
        <v>46</v>
      </c>
      <c r="AI288" s="0" t="s">
        <v>46</v>
      </c>
      <c r="AJ288" s="0" t="s">
        <v>46</v>
      </c>
      <c r="AK288" s="0" t="s">
        <v>46</v>
      </c>
      <c r="AL288" s="0" t="s">
        <v>46</v>
      </c>
    </row>
    <row r="289" customFormat="false" ht="15" hidden="false" customHeight="false" outlineLevel="0" collapsed="false">
      <c r="B289" s="0" t="str">
        <f aca="false">HYPERLINK("https://genome.ucsc.edu/cgi-bin/hgTracks?db=hg19&amp;position=chr6%3A43475078%2D43475078", "chr6:43475078")</f>
        <v>chr6:43475078</v>
      </c>
      <c r="C289" s="0" t="s">
        <v>255</v>
      </c>
      <c r="D289" s="0" t="n">
        <v>43475078</v>
      </c>
      <c r="E289" s="0" t="n">
        <v>43475078</v>
      </c>
      <c r="F289" s="0" t="s">
        <v>40</v>
      </c>
      <c r="G289" s="0" t="s">
        <v>39</v>
      </c>
      <c r="H289" s="0" t="s">
        <v>1800</v>
      </c>
      <c r="I289" s="0" t="s">
        <v>1801</v>
      </c>
      <c r="J289" s="0" t="s">
        <v>1802</v>
      </c>
      <c r="K289" s="0" t="s">
        <v>46</v>
      </c>
      <c r="L289" s="0" t="str">
        <f aca="false">HYPERLINK("https://www.ncbi.nlm.nih.gov/snp/rs779708828", "rs779708828")</f>
        <v>rs779708828</v>
      </c>
      <c r="M289" s="0" t="str">
        <f aca="false">HYPERLINK("https://www.genecards.org/Search/Keyword?queryString=%5Baliases%5D(%20LRRC73%20)&amp;keywords=LRRC73", "LRRC73")</f>
        <v>LRRC73</v>
      </c>
      <c r="N289" s="0" t="s">
        <v>63</v>
      </c>
      <c r="O289" s="0" t="s">
        <v>46</v>
      </c>
      <c r="P289" s="0" t="s">
        <v>46</v>
      </c>
      <c r="Q289" s="0" t="n">
        <v>0.0003</v>
      </c>
      <c r="R289" s="0" t="n">
        <v>0.0002</v>
      </c>
      <c r="S289" s="0" t="n">
        <v>0.0004</v>
      </c>
      <c r="T289" s="0" t="n">
        <v>-1</v>
      </c>
      <c r="U289" s="0" t="n">
        <v>0.0004</v>
      </c>
      <c r="V289" s="0" t="s">
        <v>46</v>
      </c>
      <c r="W289" s="0" t="s">
        <v>46</v>
      </c>
      <c r="X289" s="0" t="s">
        <v>49</v>
      </c>
      <c r="Y289" s="0" t="s">
        <v>64</v>
      </c>
      <c r="Z289" s="0" t="s">
        <v>46</v>
      </c>
      <c r="AA289" s="0" t="s">
        <v>46</v>
      </c>
      <c r="AB289" s="0" t="s">
        <v>46</v>
      </c>
      <c r="AC289" s="0" t="s">
        <v>52</v>
      </c>
      <c r="AD289" s="0" t="s">
        <v>53</v>
      </c>
      <c r="AE289" s="0" t="s">
        <v>1803</v>
      </c>
      <c r="AF289" s="0" t="s">
        <v>1804</v>
      </c>
      <c r="AG289" s="0" t="s">
        <v>46</v>
      </c>
      <c r="AH289" s="0" t="s">
        <v>46</v>
      </c>
      <c r="AI289" s="0" t="s">
        <v>46</v>
      </c>
      <c r="AJ289" s="0" t="s">
        <v>46</v>
      </c>
      <c r="AK289" s="0" t="s">
        <v>46</v>
      </c>
      <c r="AL289" s="0" t="s">
        <v>46</v>
      </c>
    </row>
    <row r="290" customFormat="false" ht="15" hidden="false" customHeight="false" outlineLevel="0" collapsed="false">
      <c r="B290" s="0" t="str">
        <f aca="false">HYPERLINK("https://genome.ucsc.edu/cgi-bin/hgTracks?db=hg19&amp;position=chr6%3A108573534%2D108573534", "chr6:108573534")</f>
        <v>chr6:108573534</v>
      </c>
      <c r="C290" s="0" t="s">
        <v>255</v>
      </c>
      <c r="D290" s="0" t="n">
        <v>108573534</v>
      </c>
      <c r="E290" s="0" t="n">
        <v>108573534</v>
      </c>
      <c r="F290" s="0" t="s">
        <v>40</v>
      </c>
      <c r="G290" s="0" t="s">
        <v>39</v>
      </c>
      <c r="H290" s="0" t="s">
        <v>1805</v>
      </c>
      <c r="I290" s="0" t="s">
        <v>909</v>
      </c>
      <c r="J290" s="0" t="s">
        <v>1806</v>
      </c>
      <c r="K290" s="0" t="s">
        <v>46</v>
      </c>
      <c r="L290" s="0" t="str">
        <f aca="false">HYPERLINK("https://www.ncbi.nlm.nih.gov/snp/rs139499260", "rs139499260")</f>
        <v>rs139499260</v>
      </c>
      <c r="M290" s="0" t="str">
        <f aca="false">HYPERLINK("https://www.genecards.org/Search/Keyword?queryString=%5Baliases%5D(%20SNX3%20)&amp;keywords=SNX3", "SNX3")</f>
        <v>SNX3</v>
      </c>
      <c r="N290" s="0" t="s">
        <v>609</v>
      </c>
      <c r="O290" s="0" t="s">
        <v>46</v>
      </c>
      <c r="P290" s="0" t="s">
        <v>46</v>
      </c>
      <c r="Q290" s="0" t="n">
        <v>0.0177</v>
      </c>
      <c r="R290" s="0" t="n">
        <v>0.0172</v>
      </c>
      <c r="S290" s="0" t="n">
        <v>0.0177</v>
      </c>
      <c r="T290" s="0" t="n">
        <v>-1</v>
      </c>
      <c r="U290" s="0" t="n">
        <v>0.0193</v>
      </c>
      <c r="V290" s="0" t="s">
        <v>46</v>
      </c>
      <c r="W290" s="0" t="s">
        <v>46</v>
      </c>
      <c r="X290" s="0" t="s">
        <v>46</v>
      </c>
      <c r="Y290" s="0" t="s">
        <v>46</v>
      </c>
      <c r="Z290" s="0" t="s">
        <v>46</v>
      </c>
      <c r="AA290" s="0" t="s">
        <v>46</v>
      </c>
      <c r="AB290" s="0" t="s">
        <v>46</v>
      </c>
      <c r="AC290" s="0" t="s">
        <v>52</v>
      </c>
      <c r="AD290" s="0" t="s">
        <v>53</v>
      </c>
      <c r="AE290" s="0" t="s">
        <v>1807</v>
      </c>
      <c r="AF290" s="0" t="s">
        <v>1808</v>
      </c>
      <c r="AG290" s="0" t="s">
        <v>1809</v>
      </c>
      <c r="AH290" s="0" t="s">
        <v>1810</v>
      </c>
      <c r="AI290" s="0" t="s">
        <v>46</v>
      </c>
      <c r="AJ290" s="0" t="s">
        <v>46</v>
      </c>
      <c r="AK290" s="0" t="s">
        <v>46</v>
      </c>
      <c r="AL290" s="0" t="s">
        <v>46</v>
      </c>
    </row>
    <row r="291" customFormat="false" ht="15" hidden="false" customHeight="false" outlineLevel="0" collapsed="false">
      <c r="B291" s="0" t="str">
        <f aca="false">HYPERLINK("https://genome.ucsc.edu/cgi-bin/hgTracks?db=hg19&amp;position=chr6%3A109962557%2D109962557", "chr6:109962557")</f>
        <v>chr6:109962557</v>
      </c>
      <c r="C291" s="0" t="s">
        <v>255</v>
      </c>
      <c r="D291" s="0" t="n">
        <v>109962557</v>
      </c>
      <c r="E291" s="0" t="n">
        <v>109962557</v>
      </c>
      <c r="F291" s="0" t="s">
        <v>39</v>
      </c>
      <c r="G291" s="0" t="s">
        <v>40</v>
      </c>
      <c r="H291" s="0" t="s">
        <v>1811</v>
      </c>
      <c r="I291" s="0" t="s">
        <v>346</v>
      </c>
      <c r="J291" s="0" t="s">
        <v>655</v>
      </c>
      <c r="K291" s="0" t="s">
        <v>46</v>
      </c>
      <c r="L291" s="0" t="s">
        <v>46</v>
      </c>
      <c r="M291" s="0" t="str">
        <f aca="false">HYPERLINK("https://www.genecards.org/Search/Keyword?queryString=%5Baliases%5D(%20AK9%20)&amp;keywords=AK9", "AK9")</f>
        <v>AK9</v>
      </c>
      <c r="N291" s="0" t="s">
        <v>63</v>
      </c>
      <c r="O291" s="0" t="s">
        <v>46</v>
      </c>
      <c r="P291" s="0" t="s">
        <v>46</v>
      </c>
      <c r="Q291" s="0" t="n">
        <v>0.0024</v>
      </c>
      <c r="R291" s="0" t="n">
        <v>0.0026</v>
      </c>
      <c r="S291" s="0" t="n">
        <v>0.0029</v>
      </c>
      <c r="T291" s="0" t="n">
        <v>-1</v>
      </c>
      <c r="U291" s="0" t="n">
        <v>0.0227</v>
      </c>
      <c r="V291" s="0" t="s">
        <v>46</v>
      </c>
      <c r="W291" s="0" t="s">
        <v>46</v>
      </c>
      <c r="X291" s="0" t="s">
        <v>49</v>
      </c>
      <c r="Y291" s="0" t="s">
        <v>64</v>
      </c>
      <c r="Z291" s="0" t="s">
        <v>46</v>
      </c>
      <c r="AA291" s="0" t="s">
        <v>46</v>
      </c>
      <c r="AB291" s="0" t="s">
        <v>46</v>
      </c>
      <c r="AC291" s="0" t="s">
        <v>52</v>
      </c>
      <c r="AD291" s="0" t="s">
        <v>53</v>
      </c>
      <c r="AE291" s="0" t="s">
        <v>1812</v>
      </c>
      <c r="AF291" s="0" t="s">
        <v>1813</v>
      </c>
      <c r="AG291" s="0" t="s">
        <v>1814</v>
      </c>
      <c r="AH291" s="0" t="s">
        <v>46</v>
      </c>
      <c r="AI291" s="0" t="s">
        <v>46</v>
      </c>
      <c r="AJ291" s="0" t="s">
        <v>46</v>
      </c>
      <c r="AK291" s="0" t="s">
        <v>46</v>
      </c>
      <c r="AL291" s="0" t="s">
        <v>46</v>
      </c>
    </row>
    <row r="292" customFormat="false" ht="15" hidden="false" customHeight="false" outlineLevel="0" collapsed="false">
      <c r="B292" s="0" t="str">
        <f aca="false">HYPERLINK("https://genome.ucsc.edu/cgi-bin/hgTracks?db=hg19&amp;position=chr6%3A117753498%2D117753499", "chr6:117753498")</f>
        <v>chr6:117753498</v>
      </c>
      <c r="C292" s="0" t="s">
        <v>255</v>
      </c>
      <c r="D292" s="0" t="n">
        <v>117753498</v>
      </c>
      <c r="E292" s="0" t="n">
        <v>117753499</v>
      </c>
      <c r="F292" s="0" t="s">
        <v>313</v>
      </c>
      <c r="G292" s="0" t="s">
        <v>312</v>
      </c>
      <c r="H292" s="0" t="s">
        <v>1815</v>
      </c>
      <c r="I292" s="0" t="s">
        <v>882</v>
      </c>
      <c r="J292" s="0" t="s">
        <v>1816</v>
      </c>
      <c r="K292" s="0" t="s">
        <v>46</v>
      </c>
      <c r="L292" s="0" t="s">
        <v>46</v>
      </c>
      <c r="M292" s="0" t="str">
        <f aca="false">HYPERLINK("https://www.genecards.org/Search/Keyword?queryString=%5Baliases%5D(%20GOPC%20)&amp;keywords=GOPC", "GOPC")</f>
        <v>GOPC</v>
      </c>
      <c r="N292" s="0" t="s">
        <v>727</v>
      </c>
      <c r="O292" s="0" t="s">
        <v>46</v>
      </c>
      <c r="P292" s="0" t="s">
        <v>1817</v>
      </c>
      <c r="Q292" s="0" t="n">
        <v>0.0013</v>
      </c>
      <c r="R292" s="0" t="n">
        <v>-1</v>
      </c>
      <c r="S292" s="0" t="n">
        <v>-1</v>
      </c>
      <c r="T292" s="0" t="n">
        <v>-1</v>
      </c>
      <c r="U292" s="0" t="n">
        <v>-1</v>
      </c>
      <c r="V292" s="0" t="s">
        <v>46</v>
      </c>
      <c r="W292" s="0" t="s">
        <v>46</v>
      </c>
      <c r="X292" s="0" t="s">
        <v>46</v>
      </c>
      <c r="Y292" s="0" t="s">
        <v>46</v>
      </c>
      <c r="Z292" s="0" t="s">
        <v>46</v>
      </c>
      <c r="AA292" s="0" t="s">
        <v>46</v>
      </c>
      <c r="AB292" s="0" t="s">
        <v>46</v>
      </c>
      <c r="AC292" s="0" t="s">
        <v>52</v>
      </c>
      <c r="AD292" s="0" t="s">
        <v>53</v>
      </c>
      <c r="AE292" s="0" t="s">
        <v>1818</v>
      </c>
      <c r="AF292" s="0" t="s">
        <v>1819</v>
      </c>
      <c r="AG292" s="0" t="s">
        <v>1820</v>
      </c>
      <c r="AH292" s="0" t="s">
        <v>1821</v>
      </c>
      <c r="AI292" s="0" t="s">
        <v>46</v>
      </c>
      <c r="AJ292" s="0" t="s">
        <v>46</v>
      </c>
      <c r="AK292" s="0" t="s">
        <v>46</v>
      </c>
      <c r="AL292" s="0" t="s">
        <v>46</v>
      </c>
    </row>
    <row r="293" customFormat="false" ht="15" hidden="false" customHeight="false" outlineLevel="0" collapsed="false">
      <c r="B293" s="0" t="str">
        <f aca="false">HYPERLINK("https://genome.ucsc.edu/cgi-bin/hgTracks?db=hg19&amp;position=chr6%3A129802701%2D129802701", "chr6:129802701")</f>
        <v>chr6:129802701</v>
      </c>
      <c r="C293" s="0" t="s">
        <v>255</v>
      </c>
      <c r="D293" s="0" t="n">
        <v>129802701</v>
      </c>
      <c r="E293" s="0" t="n">
        <v>129802701</v>
      </c>
      <c r="F293" s="0" t="s">
        <v>58</v>
      </c>
      <c r="G293" s="0" t="s">
        <v>72</v>
      </c>
      <c r="H293" s="0" t="s">
        <v>1822</v>
      </c>
      <c r="I293" s="0" t="s">
        <v>594</v>
      </c>
      <c r="J293" s="0" t="s">
        <v>1823</v>
      </c>
      <c r="K293" s="0" t="s">
        <v>46</v>
      </c>
      <c r="L293" s="0" t="str">
        <f aca="false">HYPERLINK("https://www.ncbi.nlm.nih.gov/snp/rs17752001", "rs17752001")</f>
        <v>rs17752001</v>
      </c>
      <c r="M293" s="0" t="str">
        <f aca="false">HYPERLINK("https://www.genecards.org/Search/Keyword?queryString=%5Baliases%5D(%20BC035400%20)%20OR%20%5Baliases%5D(%20LAMA2%20)&amp;keywords=BC035400,LAMA2", "BC035400;LAMA2")</f>
        <v>BC035400;LAMA2</v>
      </c>
      <c r="N293" s="0" t="s">
        <v>609</v>
      </c>
      <c r="O293" s="0" t="s">
        <v>46</v>
      </c>
      <c r="P293" s="0" t="s">
        <v>46</v>
      </c>
      <c r="Q293" s="0" t="n">
        <v>0.0179</v>
      </c>
      <c r="R293" s="0" t="n">
        <v>0.0106</v>
      </c>
      <c r="S293" s="0" t="n">
        <v>0.0118</v>
      </c>
      <c r="T293" s="0" t="n">
        <v>-1</v>
      </c>
      <c r="U293" s="0" t="n">
        <v>0.0163</v>
      </c>
      <c r="V293" s="0" t="s">
        <v>46</v>
      </c>
      <c r="W293" s="0" t="s">
        <v>46</v>
      </c>
      <c r="X293" s="0" t="s">
        <v>340</v>
      </c>
      <c r="Y293" s="0" t="s">
        <v>64</v>
      </c>
      <c r="Z293" s="0" t="s">
        <v>46</v>
      </c>
      <c r="AA293" s="0" t="s">
        <v>46</v>
      </c>
      <c r="AB293" s="0" t="s">
        <v>46</v>
      </c>
      <c r="AC293" s="0" t="s">
        <v>52</v>
      </c>
      <c r="AD293" s="0" t="s">
        <v>182</v>
      </c>
      <c r="AE293" s="0" t="s">
        <v>1824</v>
      </c>
      <c r="AF293" s="0" t="s">
        <v>1825</v>
      </c>
      <c r="AG293" s="0" t="s">
        <v>1214</v>
      </c>
      <c r="AH293" s="0" t="s">
        <v>1826</v>
      </c>
      <c r="AI293" s="0" t="s">
        <v>46</v>
      </c>
      <c r="AJ293" s="0" t="s">
        <v>46</v>
      </c>
      <c r="AK293" s="0" t="s">
        <v>46</v>
      </c>
      <c r="AL293" s="0" t="s">
        <v>46</v>
      </c>
    </row>
    <row r="294" customFormat="false" ht="15" hidden="false" customHeight="false" outlineLevel="0" collapsed="false">
      <c r="B294" s="0" t="str">
        <f aca="false">HYPERLINK("https://genome.ucsc.edu/cgi-bin/hgTracks?db=hg19&amp;position=chr6%3A143810682%2D143810682", "chr6:143810682")</f>
        <v>chr6:143810682</v>
      </c>
      <c r="C294" s="0" t="s">
        <v>255</v>
      </c>
      <c r="D294" s="0" t="n">
        <v>143810682</v>
      </c>
      <c r="E294" s="0" t="n">
        <v>143810682</v>
      </c>
      <c r="F294" s="0" t="s">
        <v>72</v>
      </c>
      <c r="G294" s="0" t="s">
        <v>1618</v>
      </c>
      <c r="H294" s="0" t="s">
        <v>1827</v>
      </c>
      <c r="I294" s="0" t="s">
        <v>346</v>
      </c>
      <c r="J294" s="0" t="s">
        <v>1828</v>
      </c>
      <c r="K294" s="0" t="s">
        <v>46</v>
      </c>
      <c r="L294" s="0" t="s">
        <v>46</v>
      </c>
      <c r="M294" s="0" t="str">
        <f aca="false">HYPERLINK("https://www.genecards.org/Search/Keyword?queryString=%5Baliases%5D(%20PEX3%20)&amp;keywords=PEX3", "PEX3")</f>
        <v>PEX3</v>
      </c>
      <c r="N294" s="0" t="s">
        <v>338</v>
      </c>
      <c r="O294" s="0" t="s">
        <v>46</v>
      </c>
      <c r="P294" s="0" t="s">
        <v>1829</v>
      </c>
      <c r="Q294" s="0" t="n">
        <v>-1</v>
      </c>
      <c r="R294" s="0" t="n">
        <v>-1</v>
      </c>
      <c r="S294" s="0" t="n">
        <v>-1</v>
      </c>
      <c r="T294" s="0" t="n">
        <v>-1</v>
      </c>
      <c r="U294" s="0" t="n">
        <v>-1</v>
      </c>
      <c r="V294" s="0" t="s">
        <v>46</v>
      </c>
      <c r="W294" s="0" t="s">
        <v>46</v>
      </c>
      <c r="X294" s="0" t="s">
        <v>46</v>
      </c>
      <c r="Y294" s="0" t="s">
        <v>46</v>
      </c>
      <c r="Z294" s="0" t="s">
        <v>46</v>
      </c>
      <c r="AA294" s="0" t="s">
        <v>46</v>
      </c>
      <c r="AB294" s="0" t="s">
        <v>46</v>
      </c>
      <c r="AC294" s="0" t="s">
        <v>319</v>
      </c>
      <c r="AD294" s="0" t="s">
        <v>94</v>
      </c>
      <c r="AE294" s="0" t="s">
        <v>349</v>
      </c>
      <c r="AF294" s="0" t="s">
        <v>350</v>
      </c>
      <c r="AG294" s="0" t="s">
        <v>351</v>
      </c>
      <c r="AH294" s="0" t="s">
        <v>352</v>
      </c>
      <c r="AI294" s="0" t="s">
        <v>46</v>
      </c>
      <c r="AJ294" s="0" t="s">
        <v>46</v>
      </c>
      <c r="AK294" s="0" t="s">
        <v>46</v>
      </c>
      <c r="AL294" s="0" t="s">
        <v>46</v>
      </c>
    </row>
    <row r="295" customFormat="false" ht="15" hidden="false" customHeight="false" outlineLevel="0" collapsed="false">
      <c r="B295" s="0" t="str">
        <f aca="false">HYPERLINK("https://genome.ucsc.edu/cgi-bin/hgTracks?db=hg19&amp;position=chr6%3A152489358%2D152489358", "chr6:152489358")</f>
        <v>chr6:152489358</v>
      </c>
      <c r="C295" s="0" t="s">
        <v>255</v>
      </c>
      <c r="D295" s="0" t="n">
        <v>152489358</v>
      </c>
      <c r="E295" s="0" t="n">
        <v>152489358</v>
      </c>
      <c r="F295" s="0" t="s">
        <v>72</v>
      </c>
      <c r="G295" s="0" t="s">
        <v>39</v>
      </c>
      <c r="H295" s="0" t="s">
        <v>1830</v>
      </c>
      <c r="I295" s="0" t="s">
        <v>74</v>
      </c>
      <c r="J295" s="0" t="s">
        <v>1831</v>
      </c>
      <c r="K295" s="0" t="s">
        <v>46</v>
      </c>
      <c r="L295" s="0" t="str">
        <f aca="false">HYPERLINK("https://www.ncbi.nlm.nih.gov/snp/rs142970203", "rs142970203")</f>
        <v>rs142970203</v>
      </c>
      <c r="M295" s="0" t="str">
        <f aca="false">HYPERLINK("https://www.genecards.org/Search/Keyword?queryString=%5Baliases%5D(%20MIR3163%20)%20OR%20%5Baliases%5D(%20SYNE1%20)&amp;keywords=MIR3163,SYNE1", "MIR3163;SYNE1")</f>
        <v>MIR3163;SYNE1</v>
      </c>
      <c r="N295" s="0" t="s">
        <v>1832</v>
      </c>
      <c r="O295" s="0" t="s">
        <v>46</v>
      </c>
      <c r="P295" s="0" t="s">
        <v>1833</v>
      </c>
      <c r="Q295" s="0" t="n">
        <v>0.006</v>
      </c>
      <c r="R295" s="0" t="n">
        <v>0.0031</v>
      </c>
      <c r="S295" s="0" t="n">
        <v>0.0037</v>
      </c>
      <c r="T295" s="0" t="n">
        <v>-1</v>
      </c>
      <c r="U295" s="0" t="n">
        <v>0.0041</v>
      </c>
      <c r="V295" s="0" t="s">
        <v>46</v>
      </c>
      <c r="W295" s="0" t="s">
        <v>46</v>
      </c>
      <c r="X295" s="0" t="s">
        <v>46</v>
      </c>
      <c r="Y295" s="0" t="s">
        <v>46</v>
      </c>
      <c r="Z295" s="0" t="s">
        <v>46</v>
      </c>
      <c r="AA295" s="0" t="s">
        <v>46</v>
      </c>
      <c r="AB295" s="0" t="s">
        <v>46</v>
      </c>
      <c r="AC295" s="0" t="s">
        <v>52</v>
      </c>
      <c r="AD295" s="0" t="s">
        <v>182</v>
      </c>
      <c r="AE295" s="0" t="s">
        <v>1834</v>
      </c>
      <c r="AF295" s="0" t="s">
        <v>1835</v>
      </c>
      <c r="AG295" s="0" t="s">
        <v>1836</v>
      </c>
      <c r="AH295" s="0" t="s">
        <v>1837</v>
      </c>
      <c r="AI295" s="0" t="s">
        <v>46</v>
      </c>
      <c r="AJ295" s="0" t="s">
        <v>46</v>
      </c>
      <c r="AK295" s="0" t="s">
        <v>46</v>
      </c>
      <c r="AL295" s="0" t="s">
        <v>46</v>
      </c>
    </row>
    <row r="296" customFormat="false" ht="15" hidden="false" customHeight="false" outlineLevel="0" collapsed="false">
      <c r="B296" s="0" t="str">
        <f aca="false">HYPERLINK("https://genome.ucsc.edu/cgi-bin/hgTracks?db=hg19&amp;position=chr7%3A5429992%2D5429992", "chr7:5429992")</f>
        <v>chr7:5429992</v>
      </c>
      <c r="C296" s="0" t="s">
        <v>57</v>
      </c>
      <c r="D296" s="0" t="n">
        <v>5429992</v>
      </c>
      <c r="E296" s="0" t="n">
        <v>5429992</v>
      </c>
      <c r="F296" s="0" t="s">
        <v>72</v>
      </c>
      <c r="G296" s="0" t="s">
        <v>312</v>
      </c>
      <c r="H296" s="0" t="s">
        <v>1838</v>
      </c>
      <c r="I296" s="0" t="s">
        <v>157</v>
      </c>
      <c r="J296" s="0" t="s">
        <v>1839</v>
      </c>
      <c r="K296" s="0" t="s">
        <v>46</v>
      </c>
      <c r="L296" s="0" t="s">
        <v>46</v>
      </c>
      <c r="M296" s="0" t="str">
        <f aca="false">HYPERLINK("https://www.genecards.org/Search/Keyword?queryString=%5Baliases%5D(%20TNRC18%20)&amp;keywords=TNRC18", "TNRC18")</f>
        <v>TNRC18</v>
      </c>
      <c r="N296" s="0" t="s">
        <v>601</v>
      </c>
      <c r="O296" s="0" t="s">
        <v>1742</v>
      </c>
      <c r="P296" s="0" t="s">
        <v>1840</v>
      </c>
      <c r="Q296" s="0" t="n">
        <v>-1</v>
      </c>
      <c r="R296" s="0" t="n">
        <v>-1</v>
      </c>
      <c r="S296" s="0" t="n">
        <v>-1</v>
      </c>
      <c r="T296" s="0" t="n">
        <v>-1</v>
      </c>
      <c r="U296" s="0" t="n">
        <v>-1</v>
      </c>
      <c r="V296" s="0" t="s">
        <v>46</v>
      </c>
      <c r="W296" s="0" t="s">
        <v>46</v>
      </c>
      <c r="X296" s="0" t="s">
        <v>46</v>
      </c>
      <c r="Y296" s="0" t="s">
        <v>46</v>
      </c>
      <c r="Z296" s="0" t="s">
        <v>46</v>
      </c>
      <c r="AA296" s="0" t="s">
        <v>46</v>
      </c>
      <c r="AB296" s="0" t="s">
        <v>46</v>
      </c>
      <c r="AC296" s="0" t="s">
        <v>319</v>
      </c>
      <c r="AD296" s="0" t="s">
        <v>53</v>
      </c>
      <c r="AE296" s="0" t="s">
        <v>1841</v>
      </c>
      <c r="AF296" s="0" t="s">
        <v>1842</v>
      </c>
      <c r="AG296" s="0" t="s">
        <v>46</v>
      </c>
      <c r="AH296" s="0" t="s">
        <v>46</v>
      </c>
      <c r="AI296" s="0" t="s">
        <v>46</v>
      </c>
      <c r="AJ296" s="0" t="s">
        <v>46</v>
      </c>
      <c r="AK296" s="0" t="s">
        <v>46</v>
      </c>
      <c r="AL296" s="0" t="s">
        <v>46</v>
      </c>
    </row>
    <row r="297" customFormat="false" ht="15" hidden="false" customHeight="false" outlineLevel="0" collapsed="false">
      <c r="B297" s="0" t="str">
        <f aca="false">HYPERLINK("https://genome.ucsc.edu/cgi-bin/hgTracks?db=hg19&amp;position=chr7%3A7712945%2D7712950", "chr7:7712945")</f>
        <v>chr7:7712945</v>
      </c>
      <c r="C297" s="0" t="s">
        <v>57</v>
      </c>
      <c r="D297" s="0" t="n">
        <v>7712945</v>
      </c>
      <c r="E297" s="0" t="n">
        <v>7712950</v>
      </c>
      <c r="F297" s="0" t="s">
        <v>1843</v>
      </c>
      <c r="G297" s="0" t="s">
        <v>312</v>
      </c>
      <c r="H297" s="0" t="s">
        <v>1844</v>
      </c>
      <c r="I297" s="0" t="s">
        <v>615</v>
      </c>
      <c r="J297" s="0" t="s">
        <v>1845</v>
      </c>
      <c r="K297" s="0" t="s">
        <v>46</v>
      </c>
      <c r="L297" s="0" t="s">
        <v>46</v>
      </c>
      <c r="M297" s="0" t="str">
        <f aca="false">HYPERLINK("https://www.genecards.org/Search/Keyword?queryString=%5Baliases%5D(%20LOC729852%20)%20OR%20%5Baliases%5D(%20UMAD1%20)&amp;keywords=LOC729852,UMAD1", "LOC729852;UMAD1")</f>
        <v>LOC729852;UMAD1</v>
      </c>
      <c r="N297" s="0" t="s">
        <v>1846</v>
      </c>
      <c r="O297" s="0" t="s">
        <v>46</v>
      </c>
      <c r="P297" s="0" t="s">
        <v>1847</v>
      </c>
      <c r="Q297" s="0" t="n">
        <v>-1</v>
      </c>
      <c r="R297" s="0" t="n">
        <v>-1</v>
      </c>
      <c r="S297" s="0" t="n">
        <v>-1</v>
      </c>
      <c r="T297" s="0" t="n">
        <v>-1</v>
      </c>
      <c r="U297" s="0" t="n">
        <v>-1</v>
      </c>
      <c r="V297" s="0" t="s">
        <v>46</v>
      </c>
      <c r="W297" s="0" t="s">
        <v>46</v>
      </c>
      <c r="X297" s="0" t="s">
        <v>46</v>
      </c>
      <c r="Y297" s="0" t="s">
        <v>46</v>
      </c>
      <c r="Z297" s="0" t="s">
        <v>46</v>
      </c>
      <c r="AA297" s="0" t="s">
        <v>46</v>
      </c>
      <c r="AB297" s="0" t="s">
        <v>46</v>
      </c>
      <c r="AC297" s="0" t="s">
        <v>319</v>
      </c>
      <c r="AD297" s="0" t="s">
        <v>182</v>
      </c>
      <c r="AE297" s="0" t="s">
        <v>46</v>
      </c>
      <c r="AF297" s="0" t="s">
        <v>1848</v>
      </c>
      <c r="AG297" s="0" t="s">
        <v>46</v>
      </c>
      <c r="AH297" s="0" t="s">
        <v>46</v>
      </c>
      <c r="AI297" s="0" t="s">
        <v>46</v>
      </c>
      <c r="AJ297" s="0" t="s">
        <v>46</v>
      </c>
      <c r="AK297" s="0" t="s">
        <v>46</v>
      </c>
      <c r="AL297" s="0" t="s">
        <v>46</v>
      </c>
    </row>
    <row r="298" customFormat="false" ht="15" hidden="false" customHeight="false" outlineLevel="0" collapsed="false">
      <c r="B298" s="0" t="str">
        <f aca="false">HYPERLINK("https://genome.ucsc.edu/cgi-bin/hgTracks?db=hg19&amp;position=chr7%3A12400749%2D12400749", "chr7:12400749")</f>
        <v>chr7:12400749</v>
      </c>
      <c r="C298" s="0" t="s">
        <v>57</v>
      </c>
      <c r="D298" s="0" t="n">
        <v>12400749</v>
      </c>
      <c r="E298" s="0" t="n">
        <v>12400749</v>
      </c>
      <c r="F298" s="0" t="s">
        <v>72</v>
      </c>
      <c r="G298" s="0" t="s">
        <v>40</v>
      </c>
      <c r="H298" s="0" t="s">
        <v>1849</v>
      </c>
      <c r="I298" s="0" t="s">
        <v>1104</v>
      </c>
      <c r="J298" s="0" t="s">
        <v>1850</v>
      </c>
      <c r="K298" s="0" t="s">
        <v>46</v>
      </c>
      <c r="L298" s="0" t="str">
        <f aca="false">HYPERLINK("https://www.ncbi.nlm.nih.gov/snp/rs200319426", "rs200319426")</f>
        <v>rs200319426</v>
      </c>
      <c r="M298" s="0" t="str">
        <f aca="false">HYPERLINK("https://www.genecards.org/Search/Keyword?queryString=%5Baliases%5D(%20VWDE%20)&amp;keywords=VWDE", "VWDE")</f>
        <v>VWDE</v>
      </c>
      <c r="N298" s="0" t="s">
        <v>63</v>
      </c>
      <c r="O298" s="0" t="s">
        <v>46</v>
      </c>
      <c r="P298" s="0" t="s">
        <v>46</v>
      </c>
      <c r="Q298" s="0" t="n">
        <v>0.0001</v>
      </c>
      <c r="R298" s="0" t="n">
        <v>0.0001</v>
      </c>
      <c r="S298" s="0" t="n">
        <v>0.0003</v>
      </c>
      <c r="T298" s="0" t="n">
        <v>-1</v>
      </c>
      <c r="U298" s="0" t="n">
        <v>0.0004</v>
      </c>
      <c r="V298" s="0" t="s">
        <v>46</v>
      </c>
      <c r="W298" s="0" t="s">
        <v>46</v>
      </c>
      <c r="X298" s="0" t="s">
        <v>385</v>
      </c>
      <c r="Y298" s="0" t="s">
        <v>64</v>
      </c>
      <c r="Z298" s="0" t="s">
        <v>46</v>
      </c>
      <c r="AA298" s="0" t="s">
        <v>46</v>
      </c>
      <c r="AB298" s="0" t="s">
        <v>46</v>
      </c>
      <c r="AC298" s="0" t="s">
        <v>52</v>
      </c>
      <c r="AD298" s="0" t="s">
        <v>53</v>
      </c>
      <c r="AE298" s="0" t="s">
        <v>46</v>
      </c>
      <c r="AF298" s="0" t="s">
        <v>1851</v>
      </c>
      <c r="AG298" s="0" t="s">
        <v>46</v>
      </c>
      <c r="AH298" s="0" t="s">
        <v>46</v>
      </c>
      <c r="AI298" s="0" t="s">
        <v>46</v>
      </c>
      <c r="AJ298" s="0" t="s">
        <v>46</v>
      </c>
      <c r="AK298" s="0" t="s">
        <v>46</v>
      </c>
      <c r="AL298" s="0" t="s">
        <v>46</v>
      </c>
    </row>
    <row r="299" customFormat="false" ht="15" hidden="false" customHeight="false" outlineLevel="0" collapsed="false">
      <c r="B299" s="0" t="str">
        <f aca="false">HYPERLINK("https://genome.ucsc.edu/cgi-bin/hgTracks?db=hg19&amp;position=chr7%3A16128045%2D16128045", "chr7:16128045")</f>
        <v>chr7:16128045</v>
      </c>
      <c r="C299" s="0" t="s">
        <v>57</v>
      </c>
      <c r="D299" s="0" t="n">
        <v>16128045</v>
      </c>
      <c r="E299" s="0" t="n">
        <v>16128045</v>
      </c>
      <c r="F299" s="0" t="s">
        <v>312</v>
      </c>
      <c r="G299" s="0" t="s">
        <v>39</v>
      </c>
      <c r="H299" s="0" t="s">
        <v>1852</v>
      </c>
      <c r="I299" s="0" t="s">
        <v>157</v>
      </c>
      <c r="J299" s="0" t="s">
        <v>1853</v>
      </c>
      <c r="K299" s="0" t="s">
        <v>46</v>
      </c>
      <c r="L299" s="0" t="s">
        <v>46</v>
      </c>
      <c r="M299" s="0" t="str">
        <f aca="false">HYPERLINK("https://www.genecards.org/Search/Keyword?queryString=%5Baliases%5D(%20CRPPA%20)%20OR%20%5Baliases%5D(%20ISPD%20)&amp;keywords=CRPPA,ISPD", "CRPPA;ISPD")</f>
        <v>CRPPA;ISPD</v>
      </c>
      <c r="N299" s="0" t="s">
        <v>997</v>
      </c>
      <c r="O299" s="0" t="s">
        <v>46</v>
      </c>
      <c r="P299" s="0" t="s">
        <v>1854</v>
      </c>
      <c r="Q299" s="0" t="n">
        <v>-1</v>
      </c>
      <c r="R299" s="0" t="n">
        <v>-1</v>
      </c>
      <c r="S299" s="0" t="n">
        <v>-1</v>
      </c>
      <c r="T299" s="0" t="n">
        <v>-1</v>
      </c>
      <c r="U299" s="0" t="n">
        <v>-1</v>
      </c>
      <c r="V299" s="0" t="s">
        <v>46</v>
      </c>
      <c r="W299" s="0" t="s">
        <v>46</v>
      </c>
      <c r="X299" s="0" t="s">
        <v>46</v>
      </c>
      <c r="Y299" s="0" t="s">
        <v>46</v>
      </c>
      <c r="Z299" s="0" t="s">
        <v>46</v>
      </c>
      <c r="AA299" s="0" t="s">
        <v>46</v>
      </c>
      <c r="AB299" s="0" t="s">
        <v>46</v>
      </c>
      <c r="AC299" s="0" t="s">
        <v>319</v>
      </c>
      <c r="AD299" s="0" t="s">
        <v>182</v>
      </c>
      <c r="AE299" s="0" t="s">
        <v>1855</v>
      </c>
      <c r="AF299" s="0" t="s">
        <v>1856</v>
      </c>
      <c r="AG299" s="0" t="s">
        <v>1857</v>
      </c>
      <c r="AH299" s="0" t="s">
        <v>1858</v>
      </c>
      <c r="AI299" s="0" t="s">
        <v>46</v>
      </c>
      <c r="AJ299" s="0" t="s">
        <v>46</v>
      </c>
      <c r="AK299" s="0" t="s">
        <v>46</v>
      </c>
      <c r="AL299" s="0" t="s">
        <v>46</v>
      </c>
    </row>
    <row r="300" customFormat="false" ht="15" hidden="false" customHeight="false" outlineLevel="0" collapsed="false">
      <c r="B300" s="0" t="str">
        <f aca="false">HYPERLINK("https://genome.ucsc.edu/cgi-bin/hgTracks?db=hg19&amp;position=chr7%3A20690898%2D20690898", "chr7:20690898")</f>
        <v>chr7:20690898</v>
      </c>
      <c r="C300" s="0" t="s">
        <v>57</v>
      </c>
      <c r="D300" s="0" t="n">
        <v>20690898</v>
      </c>
      <c r="E300" s="0" t="n">
        <v>20690898</v>
      </c>
      <c r="F300" s="0" t="s">
        <v>39</v>
      </c>
      <c r="G300" s="0" t="s">
        <v>58</v>
      </c>
      <c r="H300" s="0" t="s">
        <v>1859</v>
      </c>
      <c r="I300" s="0" t="s">
        <v>692</v>
      </c>
      <c r="J300" s="0" t="s">
        <v>1860</v>
      </c>
      <c r="K300" s="0" t="s">
        <v>46</v>
      </c>
      <c r="L300" s="0" t="str">
        <f aca="false">HYPERLINK("https://www.ncbi.nlm.nih.gov/snp/rs894931096", "rs894931096")</f>
        <v>rs894931096</v>
      </c>
      <c r="M300" s="0" t="str">
        <f aca="false">HYPERLINK("https://www.genecards.org/Search/Keyword?queryString=%5Baliases%5D(%20ABCB5%20)&amp;keywords=ABCB5", "ABCB5")</f>
        <v>ABCB5</v>
      </c>
      <c r="N300" s="0" t="s">
        <v>63</v>
      </c>
      <c r="O300" s="0" t="s">
        <v>46</v>
      </c>
      <c r="P300" s="0" t="s">
        <v>46</v>
      </c>
      <c r="Q300" s="0" t="n">
        <v>0.0014</v>
      </c>
      <c r="R300" s="0" t="n">
        <v>0.0017</v>
      </c>
      <c r="S300" s="0" t="n">
        <v>0.0015</v>
      </c>
      <c r="T300" s="0" t="n">
        <v>-1</v>
      </c>
      <c r="U300" s="0" t="n">
        <v>0.0024</v>
      </c>
      <c r="V300" s="0" t="s">
        <v>46</v>
      </c>
      <c r="W300" s="0" t="s">
        <v>46</v>
      </c>
      <c r="X300" s="0" t="s">
        <v>49</v>
      </c>
      <c r="Y300" s="0" t="s">
        <v>64</v>
      </c>
      <c r="Z300" s="0" t="s">
        <v>46</v>
      </c>
      <c r="AA300" s="0" t="s">
        <v>46</v>
      </c>
      <c r="AB300" s="0" t="s">
        <v>46</v>
      </c>
      <c r="AC300" s="0" t="s">
        <v>52</v>
      </c>
      <c r="AD300" s="0" t="s">
        <v>53</v>
      </c>
      <c r="AE300" s="0" t="s">
        <v>1861</v>
      </c>
      <c r="AF300" s="0" t="s">
        <v>1862</v>
      </c>
      <c r="AG300" s="0" t="s">
        <v>1863</v>
      </c>
      <c r="AH300" s="0" t="s">
        <v>46</v>
      </c>
      <c r="AI300" s="0" t="s">
        <v>46</v>
      </c>
      <c r="AJ300" s="0" t="s">
        <v>46</v>
      </c>
      <c r="AK300" s="0" t="s">
        <v>46</v>
      </c>
      <c r="AL300" s="0" t="s">
        <v>46</v>
      </c>
    </row>
    <row r="301" customFormat="false" ht="15" hidden="false" customHeight="false" outlineLevel="0" collapsed="false">
      <c r="B301" s="0" t="str">
        <f aca="false">HYPERLINK("https://genome.ucsc.edu/cgi-bin/hgTracks?db=hg19&amp;position=chr7%3A21745312%2D21745312", "chr7:21745312")</f>
        <v>chr7:21745312</v>
      </c>
      <c r="C301" s="0" t="s">
        <v>57</v>
      </c>
      <c r="D301" s="0" t="n">
        <v>21745312</v>
      </c>
      <c r="E301" s="0" t="n">
        <v>21745312</v>
      </c>
      <c r="F301" s="0" t="s">
        <v>72</v>
      </c>
      <c r="G301" s="0" t="s">
        <v>58</v>
      </c>
      <c r="H301" s="0" t="s">
        <v>1328</v>
      </c>
      <c r="I301" s="0" t="s">
        <v>493</v>
      </c>
      <c r="J301" s="0" t="s">
        <v>1864</v>
      </c>
      <c r="K301" s="0" t="s">
        <v>46</v>
      </c>
      <c r="L301" s="0" t="str">
        <f aca="false">HYPERLINK("https://www.ncbi.nlm.nih.gov/snp/rs565037854", "rs565037854")</f>
        <v>rs565037854</v>
      </c>
      <c r="M301" s="0" t="str">
        <f aca="false">HYPERLINK("https://www.genecards.org/Search/Keyword?queryString=%5Baliases%5D(%20DNAH11%20)&amp;keywords=DNAH11", "DNAH11")</f>
        <v>DNAH11</v>
      </c>
      <c r="N301" s="0" t="s">
        <v>63</v>
      </c>
      <c r="O301" s="0" t="s">
        <v>46</v>
      </c>
      <c r="P301" s="0" t="s">
        <v>46</v>
      </c>
      <c r="Q301" s="0" t="n">
        <v>0.0153</v>
      </c>
      <c r="R301" s="0" t="n">
        <v>0.0086</v>
      </c>
      <c r="S301" s="0" t="n">
        <v>0.0075</v>
      </c>
      <c r="T301" s="0" t="n">
        <v>-1</v>
      </c>
      <c r="U301" s="0" t="n">
        <v>0.0123</v>
      </c>
      <c r="V301" s="0" t="s">
        <v>46</v>
      </c>
      <c r="W301" s="0" t="s">
        <v>46</v>
      </c>
      <c r="X301" s="0" t="s">
        <v>385</v>
      </c>
      <c r="Y301" s="0" t="s">
        <v>64</v>
      </c>
      <c r="Z301" s="0" t="s">
        <v>46</v>
      </c>
      <c r="AA301" s="0" t="s">
        <v>46</v>
      </c>
      <c r="AB301" s="0" t="s">
        <v>46</v>
      </c>
      <c r="AC301" s="0" t="s">
        <v>52</v>
      </c>
      <c r="AD301" s="0" t="s">
        <v>53</v>
      </c>
      <c r="AE301" s="0" t="s">
        <v>46</v>
      </c>
      <c r="AF301" s="0" t="s">
        <v>1865</v>
      </c>
      <c r="AG301" s="0" t="s">
        <v>1866</v>
      </c>
      <c r="AH301" s="0" t="s">
        <v>1867</v>
      </c>
      <c r="AI301" s="0" t="s">
        <v>46</v>
      </c>
      <c r="AJ301" s="0" t="s">
        <v>46</v>
      </c>
      <c r="AK301" s="0" t="s">
        <v>46</v>
      </c>
      <c r="AL301" s="0" t="s">
        <v>46</v>
      </c>
    </row>
    <row r="302" customFormat="false" ht="15" hidden="false" customHeight="false" outlineLevel="0" collapsed="false">
      <c r="B302" s="0" t="str">
        <f aca="false">HYPERLINK("https://genome.ucsc.edu/cgi-bin/hgTracks?db=hg19&amp;position=chr7%3A63797406%2D63797406", "chr7:63797406")</f>
        <v>chr7:63797406</v>
      </c>
      <c r="C302" s="0" t="s">
        <v>57</v>
      </c>
      <c r="D302" s="0" t="n">
        <v>63797406</v>
      </c>
      <c r="E302" s="0" t="n">
        <v>63797406</v>
      </c>
      <c r="F302" s="0" t="s">
        <v>72</v>
      </c>
      <c r="G302" s="0" t="s">
        <v>58</v>
      </c>
      <c r="H302" s="0" t="s">
        <v>1868</v>
      </c>
      <c r="I302" s="0" t="s">
        <v>1869</v>
      </c>
      <c r="J302" s="0" t="s">
        <v>1870</v>
      </c>
      <c r="K302" s="0" t="s">
        <v>46</v>
      </c>
      <c r="L302" s="0" t="str">
        <f aca="false">HYPERLINK("https://www.ncbi.nlm.nih.gov/snp/rs184572277", "rs184572277")</f>
        <v>rs184572277</v>
      </c>
      <c r="M302" s="0" t="str">
        <f aca="false">HYPERLINK("https://www.genecards.org/Search/Keyword?queryString=%5Baliases%5D(%20ZNF736%20)&amp;keywords=ZNF736", "ZNF736")</f>
        <v>ZNF736</v>
      </c>
      <c r="N302" s="0" t="s">
        <v>1871</v>
      </c>
      <c r="O302" s="0" t="s">
        <v>46</v>
      </c>
      <c r="P302" s="0" t="s">
        <v>1872</v>
      </c>
      <c r="Q302" s="0" t="n">
        <v>0.0276</v>
      </c>
      <c r="R302" s="0" t="n">
        <v>0.0058</v>
      </c>
      <c r="S302" s="0" t="n">
        <v>0.0054</v>
      </c>
      <c r="T302" s="0" t="n">
        <v>-1</v>
      </c>
      <c r="U302" s="0" t="n">
        <v>0.0051</v>
      </c>
      <c r="V302" s="0" t="s">
        <v>46</v>
      </c>
      <c r="W302" s="0" t="s">
        <v>46</v>
      </c>
      <c r="X302" s="0" t="s">
        <v>385</v>
      </c>
      <c r="Y302" s="0" t="s">
        <v>64</v>
      </c>
      <c r="Z302" s="0" t="s">
        <v>46</v>
      </c>
      <c r="AA302" s="0" t="s">
        <v>46</v>
      </c>
      <c r="AB302" s="0" t="s">
        <v>46</v>
      </c>
      <c r="AC302" s="0" t="s">
        <v>52</v>
      </c>
      <c r="AD302" s="0" t="s">
        <v>53</v>
      </c>
      <c r="AE302" s="0" t="s">
        <v>1873</v>
      </c>
      <c r="AF302" s="0" t="s">
        <v>1874</v>
      </c>
      <c r="AG302" s="0" t="s">
        <v>56</v>
      </c>
      <c r="AH302" s="0" t="s">
        <v>46</v>
      </c>
      <c r="AI302" s="0" t="s">
        <v>46</v>
      </c>
      <c r="AJ302" s="0" t="s">
        <v>46</v>
      </c>
      <c r="AK302" s="0" t="s">
        <v>46</v>
      </c>
      <c r="AL302" s="0" t="s">
        <v>397</v>
      </c>
    </row>
    <row r="303" customFormat="false" ht="15" hidden="false" customHeight="false" outlineLevel="0" collapsed="false">
      <c r="B303" s="0" t="str">
        <f aca="false">HYPERLINK("https://genome.ucsc.edu/cgi-bin/hgTracks?db=hg19&amp;position=chr7%3A72606751%2D72606751", "chr7:72606751")</f>
        <v>chr7:72606751</v>
      </c>
      <c r="C303" s="0" t="s">
        <v>57</v>
      </c>
      <c r="D303" s="0" t="n">
        <v>72606751</v>
      </c>
      <c r="E303" s="0" t="n">
        <v>72606751</v>
      </c>
      <c r="F303" s="0" t="s">
        <v>39</v>
      </c>
      <c r="G303" s="0" t="s">
        <v>312</v>
      </c>
      <c r="H303" s="0" t="s">
        <v>1875</v>
      </c>
      <c r="I303" s="0" t="s">
        <v>660</v>
      </c>
      <c r="J303" s="0" t="s">
        <v>1876</v>
      </c>
      <c r="K303" s="0" t="s">
        <v>46</v>
      </c>
      <c r="L303" s="0" t="s">
        <v>46</v>
      </c>
      <c r="M303" s="0" t="str">
        <f aca="false">HYPERLINK("https://www.genecards.org/Search/Keyword?queryString=%5Baliases%5D(%20FKBP6%20)%20OR%20%5Baliases%5D(%20GTF2IP1%20)%20OR%20%5Baliases%5D(%20GTF2IP4%20)%20OR%20%5Baliases%5D(%20LOC100093631%20)&amp;keywords=FKBP6,GTF2IP1,GTF2IP4,LOC100093631", "FKBP6;GTF2IP1;GTF2IP4;LOC100093631")</f>
        <v>FKBP6;GTF2IP1;GTF2IP4;LOC100093631</v>
      </c>
      <c r="N303" s="0" t="s">
        <v>366</v>
      </c>
      <c r="O303" s="0" t="s">
        <v>46</v>
      </c>
      <c r="P303" s="0" t="s">
        <v>46</v>
      </c>
      <c r="Q303" s="0" t="n">
        <v>0.012</v>
      </c>
      <c r="R303" s="0" t="n">
        <v>0.0063</v>
      </c>
      <c r="S303" s="0" t="n">
        <v>0.0034</v>
      </c>
      <c r="T303" s="0" t="n">
        <v>-1</v>
      </c>
      <c r="U303" s="0" t="n">
        <v>0.0135</v>
      </c>
      <c r="V303" s="0" t="s">
        <v>46</v>
      </c>
      <c r="W303" s="0" t="s">
        <v>46</v>
      </c>
      <c r="X303" s="0" t="s">
        <v>46</v>
      </c>
      <c r="Y303" s="0" t="s">
        <v>46</v>
      </c>
      <c r="Z303" s="0" t="s">
        <v>46</v>
      </c>
      <c r="AA303" s="0" t="s">
        <v>46</v>
      </c>
      <c r="AB303" s="0" t="s">
        <v>46</v>
      </c>
      <c r="AC303" s="0" t="s">
        <v>52</v>
      </c>
      <c r="AD303" s="0" t="s">
        <v>1877</v>
      </c>
      <c r="AE303" s="0" t="s">
        <v>1878</v>
      </c>
      <c r="AF303" s="0" t="s">
        <v>1879</v>
      </c>
      <c r="AG303" s="0" t="s">
        <v>1880</v>
      </c>
      <c r="AH303" s="0" t="s">
        <v>1881</v>
      </c>
      <c r="AI303" s="0" t="s">
        <v>46</v>
      </c>
      <c r="AJ303" s="0" t="s">
        <v>46</v>
      </c>
      <c r="AK303" s="0" t="s">
        <v>46</v>
      </c>
      <c r="AL303" s="0" t="s">
        <v>46</v>
      </c>
    </row>
    <row r="304" customFormat="false" ht="15" hidden="false" customHeight="false" outlineLevel="0" collapsed="false">
      <c r="B304" s="0" t="str">
        <f aca="false">HYPERLINK("https://genome.ucsc.edu/cgi-bin/hgTracks?db=hg19&amp;position=chr7%3A103132303%2D103132303", "chr7:103132303")</f>
        <v>chr7:103132303</v>
      </c>
      <c r="C304" s="0" t="s">
        <v>57</v>
      </c>
      <c r="D304" s="0" t="n">
        <v>103132303</v>
      </c>
      <c r="E304" s="0" t="n">
        <v>103132303</v>
      </c>
      <c r="F304" s="0" t="s">
        <v>39</v>
      </c>
      <c r="G304" s="0" t="s">
        <v>72</v>
      </c>
      <c r="H304" s="0" t="s">
        <v>1882</v>
      </c>
      <c r="I304" s="0" t="s">
        <v>660</v>
      </c>
      <c r="J304" s="0" t="s">
        <v>1883</v>
      </c>
      <c r="K304" s="0" t="s">
        <v>46</v>
      </c>
      <c r="L304" s="0" t="str">
        <f aca="false">HYPERLINK("https://www.ncbi.nlm.nih.gov/snp/rs62480386", "rs62480386")</f>
        <v>rs62480386</v>
      </c>
      <c r="M304" s="0" t="str">
        <f aca="false">HYPERLINK("https://www.genecards.org/Search/Keyword?queryString=%5Baliases%5D(%20LOC101927870%20)%20OR%20%5Baliases%5D(%20RELN%20)&amp;keywords=LOC101927870,RELN", "LOC101927870;RELN")</f>
        <v>LOC101927870;RELN</v>
      </c>
      <c r="N304" s="0" t="s">
        <v>366</v>
      </c>
      <c r="O304" s="0" t="s">
        <v>46</v>
      </c>
      <c r="P304" s="0" t="s">
        <v>46</v>
      </c>
      <c r="Q304" s="0" t="n">
        <v>0.004111</v>
      </c>
      <c r="R304" s="0" t="n">
        <v>-1</v>
      </c>
      <c r="S304" s="0" t="n">
        <v>-1</v>
      </c>
      <c r="T304" s="0" t="n">
        <v>-1</v>
      </c>
      <c r="U304" s="0" t="n">
        <v>-1</v>
      </c>
      <c r="V304" s="0" t="s">
        <v>46</v>
      </c>
      <c r="W304" s="0" t="s">
        <v>46</v>
      </c>
      <c r="X304" s="0" t="s">
        <v>340</v>
      </c>
      <c r="Y304" s="0" t="s">
        <v>64</v>
      </c>
      <c r="Z304" s="0" t="s">
        <v>46</v>
      </c>
      <c r="AA304" s="0" t="s">
        <v>46</v>
      </c>
      <c r="AB304" s="0" t="s">
        <v>46</v>
      </c>
      <c r="AC304" s="0" t="s">
        <v>319</v>
      </c>
      <c r="AD304" s="0" t="s">
        <v>631</v>
      </c>
      <c r="AE304" s="0" t="s">
        <v>1884</v>
      </c>
      <c r="AF304" s="0" t="s">
        <v>1885</v>
      </c>
      <c r="AG304" s="0" t="s">
        <v>1886</v>
      </c>
      <c r="AH304" s="0" t="s">
        <v>1887</v>
      </c>
      <c r="AI304" s="0" t="s">
        <v>46</v>
      </c>
      <c r="AJ304" s="0" t="s">
        <v>46</v>
      </c>
      <c r="AK304" s="0" t="s">
        <v>46</v>
      </c>
      <c r="AL304" s="0" t="s">
        <v>46</v>
      </c>
    </row>
    <row r="305" customFormat="false" ht="15" hidden="false" customHeight="false" outlineLevel="0" collapsed="false">
      <c r="B305" s="0" t="str">
        <f aca="false">HYPERLINK("https://genome.ucsc.edu/cgi-bin/hgTracks?db=hg19&amp;position=chr7%3A103132304%2D103132319", "chr7:103132304")</f>
        <v>chr7:103132304</v>
      </c>
      <c r="C305" s="0" t="s">
        <v>57</v>
      </c>
      <c r="D305" s="0" t="n">
        <v>103132304</v>
      </c>
      <c r="E305" s="0" t="n">
        <v>103132319</v>
      </c>
      <c r="F305" s="0" t="s">
        <v>1888</v>
      </c>
      <c r="G305" s="0" t="s">
        <v>312</v>
      </c>
      <c r="H305" s="0" t="s">
        <v>1882</v>
      </c>
      <c r="I305" s="0" t="s">
        <v>660</v>
      </c>
      <c r="J305" s="0" t="s">
        <v>1883</v>
      </c>
      <c r="K305" s="0" t="s">
        <v>46</v>
      </c>
      <c r="L305" s="0" t="s">
        <v>46</v>
      </c>
      <c r="M305" s="0" t="str">
        <f aca="false">HYPERLINK("https://www.genecards.org/Search/Keyword?queryString=%5Baliases%5D(%20LOC101927870%20)%20OR%20%5Baliases%5D(%20RELN%20)&amp;keywords=LOC101927870,RELN", "LOC101927870;RELN")</f>
        <v>LOC101927870;RELN</v>
      </c>
      <c r="N305" s="0" t="s">
        <v>366</v>
      </c>
      <c r="O305" s="0" t="s">
        <v>46</v>
      </c>
      <c r="P305" s="0" t="s">
        <v>46</v>
      </c>
      <c r="Q305" s="0" t="n">
        <v>0.0010373</v>
      </c>
      <c r="R305" s="0" t="n">
        <v>-1</v>
      </c>
      <c r="S305" s="0" t="n">
        <v>-1</v>
      </c>
      <c r="T305" s="0" t="n">
        <v>-1</v>
      </c>
      <c r="U305" s="0" t="n">
        <v>-1</v>
      </c>
      <c r="V305" s="0" t="s">
        <v>46</v>
      </c>
      <c r="W305" s="0" t="s">
        <v>46</v>
      </c>
      <c r="X305" s="0" t="s">
        <v>46</v>
      </c>
      <c r="Y305" s="0" t="s">
        <v>46</v>
      </c>
      <c r="Z305" s="0" t="s">
        <v>46</v>
      </c>
      <c r="AA305" s="0" t="s">
        <v>46</v>
      </c>
      <c r="AB305" s="0" t="s">
        <v>46</v>
      </c>
      <c r="AC305" s="0" t="s">
        <v>319</v>
      </c>
      <c r="AD305" s="0" t="s">
        <v>631</v>
      </c>
      <c r="AE305" s="0" t="s">
        <v>1884</v>
      </c>
      <c r="AF305" s="0" t="s">
        <v>1885</v>
      </c>
      <c r="AG305" s="0" t="s">
        <v>1886</v>
      </c>
      <c r="AH305" s="0" t="s">
        <v>1887</v>
      </c>
      <c r="AI305" s="0" t="s">
        <v>46</v>
      </c>
      <c r="AJ305" s="0" t="s">
        <v>46</v>
      </c>
      <c r="AK305" s="0" t="s">
        <v>46</v>
      </c>
      <c r="AL305" s="0" t="s">
        <v>46</v>
      </c>
    </row>
    <row r="306" customFormat="false" ht="15" hidden="false" customHeight="false" outlineLevel="0" collapsed="false">
      <c r="B306" s="0" t="str">
        <f aca="false">HYPERLINK("https://genome.ucsc.edu/cgi-bin/hgTracks?db=hg19&amp;position=chr7%3A116381122%2D116381123", "chr7:116381122")</f>
        <v>chr7:116381122</v>
      </c>
      <c r="C306" s="0" t="s">
        <v>57</v>
      </c>
      <c r="D306" s="0" t="n">
        <v>116381122</v>
      </c>
      <c r="E306" s="0" t="n">
        <v>116381123</v>
      </c>
      <c r="F306" s="0" t="s">
        <v>1452</v>
      </c>
      <c r="G306" s="0" t="s">
        <v>312</v>
      </c>
      <c r="H306" s="0" t="s">
        <v>1889</v>
      </c>
      <c r="I306" s="0" t="s">
        <v>1078</v>
      </c>
      <c r="J306" s="0" t="s">
        <v>1890</v>
      </c>
      <c r="K306" s="0" t="s">
        <v>46</v>
      </c>
      <c r="L306" s="0" t="str">
        <f aca="false">HYPERLINK("https://www.ncbi.nlm.nih.gov/snp/rs796745354", "rs796745354")</f>
        <v>rs796745354</v>
      </c>
      <c r="M306" s="0" t="str">
        <f aca="false">HYPERLINK("https://www.genecards.org/Search/Keyword?queryString=%5Baliases%5D(%20MET%20)&amp;keywords=MET", "MET")</f>
        <v>MET</v>
      </c>
      <c r="N306" s="0" t="s">
        <v>601</v>
      </c>
      <c r="O306" s="0" t="s">
        <v>623</v>
      </c>
      <c r="P306" s="0" t="s">
        <v>1891</v>
      </c>
      <c r="Q306" s="0" t="n">
        <v>0.0113</v>
      </c>
      <c r="R306" s="0" t="n">
        <v>0.0036</v>
      </c>
      <c r="S306" s="0" t="n">
        <v>0.0004</v>
      </c>
      <c r="T306" s="0" t="n">
        <v>-1</v>
      </c>
      <c r="U306" s="0" t="n">
        <v>0.0011</v>
      </c>
      <c r="V306" s="0" t="s">
        <v>46</v>
      </c>
      <c r="W306" s="0" t="s">
        <v>46</v>
      </c>
      <c r="X306" s="0" t="s">
        <v>46</v>
      </c>
      <c r="Y306" s="0" t="s">
        <v>46</v>
      </c>
      <c r="Z306" s="0" t="s">
        <v>46</v>
      </c>
      <c r="AA306" s="0" t="s">
        <v>46</v>
      </c>
      <c r="AB306" s="0" t="s">
        <v>46</v>
      </c>
      <c r="AC306" s="0" t="s">
        <v>52</v>
      </c>
      <c r="AD306" s="0" t="s">
        <v>53</v>
      </c>
      <c r="AE306" s="0" t="s">
        <v>1892</v>
      </c>
      <c r="AF306" s="0" t="s">
        <v>1893</v>
      </c>
      <c r="AG306" s="0" t="s">
        <v>1894</v>
      </c>
      <c r="AH306" s="0" t="s">
        <v>1895</v>
      </c>
      <c r="AI306" s="0" t="s">
        <v>46</v>
      </c>
      <c r="AJ306" s="0" t="s">
        <v>46</v>
      </c>
      <c r="AK306" s="0" t="s">
        <v>46</v>
      </c>
      <c r="AL306" s="0" t="s">
        <v>46</v>
      </c>
    </row>
    <row r="307" customFormat="false" ht="15" hidden="false" customHeight="false" outlineLevel="0" collapsed="false">
      <c r="B307" s="0" t="str">
        <f aca="false">HYPERLINK("https://genome.ucsc.edu/cgi-bin/hgTracks?db=hg19&amp;position=chr7%3A117248138%2D117248138", "chr7:117248138")</f>
        <v>chr7:117248138</v>
      </c>
      <c r="C307" s="0" t="s">
        <v>57</v>
      </c>
      <c r="D307" s="0" t="n">
        <v>117248138</v>
      </c>
      <c r="E307" s="0" t="n">
        <v>117248138</v>
      </c>
      <c r="F307" s="0" t="s">
        <v>40</v>
      </c>
      <c r="G307" s="0" t="s">
        <v>58</v>
      </c>
      <c r="H307" s="0" t="s">
        <v>1896</v>
      </c>
      <c r="I307" s="0" t="s">
        <v>687</v>
      </c>
      <c r="J307" s="0" t="s">
        <v>1897</v>
      </c>
      <c r="K307" s="0" t="s">
        <v>46</v>
      </c>
      <c r="L307" s="0" t="str">
        <f aca="false">HYPERLINK("https://www.ncbi.nlm.nih.gov/snp/rs559632111", "rs559632111")</f>
        <v>rs559632111</v>
      </c>
      <c r="M307" s="0" t="str">
        <f aca="false">HYPERLINK("https://www.genecards.org/Search/Keyword?queryString=%5Baliases%5D(%20CFTR%20)&amp;keywords=CFTR", "CFTR")</f>
        <v>CFTR</v>
      </c>
      <c r="N307" s="0" t="s">
        <v>366</v>
      </c>
      <c r="O307" s="0" t="s">
        <v>46</v>
      </c>
      <c r="P307" s="0" t="s">
        <v>46</v>
      </c>
      <c r="Q307" s="0" t="n">
        <v>0.002</v>
      </c>
      <c r="R307" s="0" t="n">
        <v>-1</v>
      </c>
      <c r="S307" s="0" t="n">
        <v>-1</v>
      </c>
      <c r="T307" s="0" t="n">
        <v>-1</v>
      </c>
      <c r="U307" s="0" t="n">
        <v>-1</v>
      </c>
      <c r="V307" s="0" t="s">
        <v>46</v>
      </c>
      <c r="W307" s="0" t="s">
        <v>46</v>
      </c>
      <c r="X307" s="0" t="s">
        <v>46</v>
      </c>
      <c r="Y307" s="0" t="s">
        <v>46</v>
      </c>
      <c r="Z307" s="0" t="s">
        <v>46</v>
      </c>
      <c r="AA307" s="0" t="s">
        <v>46</v>
      </c>
      <c r="AB307" s="0" t="s">
        <v>46</v>
      </c>
      <c r="AC307" s="0" t="s">
        <v>52</v>
      </c>
      <c r="AD307" s="0" t="s">
        <v>53</v>
      </c>
      <c r="AE307" s="0" t="s">
        <v>1898</v>
      </c>
      <c r="AF307" s="0" t="s">
        <v>1899</v>
      </c>
      <c r="AG307" s="0" t="s">
        <v>1900</v>
      </c>
      <c r="AH307" s="0" t="s">
        <v>1901</v>
      </c>
      <c r="AI307" s="0" t="s">
        <v>46</v>
      </c>
      <c r="AJ307" s="0" t="s">
        <v>46</v>
      </c>
      <c r="AK307" s="0" t="s">
        <v>46</v>
      </c>
      <c r="AL307" s="0" t="s">
        <v>46</v>
      </c>
    </row>
    <row r="308" customFormat="false" ht="15" hidden="false" customHeight="false" outlineLevel="0" collapsed="false">
      <c r="B308" s="0" t="str">
        <f aca="false">HYPERLINK("https://genome.ucsc.edu/cgi-bin/hgTracks?db=hg19&amp;position=chr7%3A129497222%2D129497222", "chr7:129497222")</f>
        <v>chr7:129497222</v>
      </c>
      <c r="C308" s="0" t="s">
        <v>57</v>
      </c>
      <c r="D308" s="0" t="n">
        <v>129497222</v>
      </c>
      <c r="E308" s="0" t="n">
        <v>129497222</v>
      </c>
      <c r="F308" s="0" t="s">
        <v>40</v>
      </c>
      <c r="G308" s="0" t="s">
        <v>72</v>
      </c>
      <c r="H308" s="0" t="s">
        <v>1902</v>
      </c>
      <c r="I308" s="0" t="s">
        <v>594</v>
      </c>
      <c r="J308" s="0" t="s">
        <v>1903</v>
      </c>
      <c r="K308" s="0" t="s">
        <v>46</v>
      </c>
      <c r="L308" s="0" t="str">
        <f aca="false">HYPERLINK("https://www.ncbi.nlm.nih.gov/snp/rs192820714", "rs192820714")</f>
        <v>rs192820714</v>
      </c>
      <c r="M308" s="0" t="str">
        <f aca="false">HYPERLINK("https://www.genecards.org/Search/Keyword?queryString=%5Baliases%5D(%20UBE2H%20)&amp;keywords=UBE2H", "UBE2H")</f>
        <v>UBE2H</v>
      </c>
      <c r="N308" s="0" t="s">
        <v>63</v>
      </c>
      <c r="O308" s="0" t="s">
        <v>46</v>
      </c>
      <c r="P308" s="0" t="s">
        <v>46</v>
      </c>
      <c r="Q308" s="0" t="n">
        <v>0.0236</v>
      </c>
      <c r="R308" s="0" t="n">
        <v>0.0139</v>
      </c>
      <c r="S308" s="0" t="n">
        <v>0.0141</v>
      </c>
      <c r="T308" s="0" t="n">
        <v>-1</v>
      </c>
      <c r="U308" s="0" t="n">
        <v>0.0121</v>
      </c>
      <c r="V308" s="0" t="s">
        <v>46</v>
      </c>
      <c r="W308" s="0" t="s">
        <v>46</v>
      </c>
      <c r="X308" s="0" t="s">
        <v>385</v>
      </c>
      <c r="Y308" s="0" t="s">
        <v>64</v>
      </c>
      <c r="Z308" s="0" t="s">
        <v>46</v>
      </c>
      <c r="AA308" s="0" t="s">
        <v>46</v>
      </c>
      <c r="AB308" s="0" t="s">
        <v>46</v>
      </c>
      <c r="AC308" s="0" t="s">
        <v>52</v>
      </c>
      <c r="AD308" s="0" t="s">
        <v>53</v>
      </c>
      <c r="AE308" s="0" t="s">
        <v>1904</v>
      </c>
      <c r="AF308" s="0" t="s">
        <v>1905</v>
      </c>
      <c r="AG308" s="0" t="s">
        <v>1906</v>
      </c>
      <c r="AH308" s="0" t="s">
        <v>46</v>
      </c>
      <c r="AI308" s="0" t="s">
        <v>46</v>
      </c>
      <c r="AJ308" s="0" t="s">
        <v>46</v>
      </c>
      <c r="AK308" s="0" t="s">
        <v>46</v>
      </c>
      <c r="AL308" s="0" t="s">
        <v>46</v>
      </c>
    </row>
    <row r="309" s="2" customFormat="true" ht="15" hidden="false" customHeight="false" outlineLevel="0" collapsed="false">
      <c r="B309" s="2" t="str">
        <f aca="false">HYPERLINK("https://genome.ucsc.edu/cgi-bin/hgTracks?db=hg19&amp;position=chr7%3A142028606%2D142028606", "chr7:142028606")</f>
        <v>chr7:142028606</v>
      </c>
      <c r="C309" s="2" t="s">
        <v>57</v>
      </c>
      <c r="D309" s="2" t="n">
        <v>142028606</v>
      </c>
      <c r="E309" s="2" t="n">
        <v>142028606</v>
      </c>
      <c r="F309" s="2" t="s">
        <v>58</v>
      </c>
      <c r="G309" s="2" t="s">
        <v>39</v>
      </c>
      <c r="H309" s="2" t="s">
        <v>1907</v>
      </c>
      <c r="I309" s="2" t="s">
        <v>1908</v>
      </c>
      <c r="J309" s="2" t="s">
        <v>1909</v>
      </c>
      <c r="K309" s="2" t="s">
        <v>46</v>
      </c>
      <c r="L309" s="2" t="str">
        <f aca="false">HYPERLINK("https://www.ncbi.nlm.nih.gov/snp/rs374885376", "rs374885376")</f>
        <v>rs374885376</v>
      </c>
      <c r="M309" s="2" t="str">
        <f aca="false">HYPERLINK("https://www.genecards.org/Search/Keyword?queryString=%5Baliases%5D(%20T-cellreceptorIGRb14Vbeta13%20)&amp;keywords=T-cellreceptorIGRb14Vbeta13", "T-cellreceptorIGRb14Vbeta13")</f>
        <v>T-cellreceptorIGRb14Vbeta13</v>
      </c>
      <c r="N309" s="2" t="s">
        <v>1910</v>
      </c>
      <c r="O309" s="2" t="s">
        <v>328</v>
      </c>
      <c r="P309" s="2" t="s">
        <v>1911</v>
      </c>
      <c r="Q309" s="2" t="n">
        <v>0.0269</v>
      </c>
      <c r="R309" s="2" t="n">
        <v>0.0011</v>
      </c>
      <c r="S309" s="2" t="n">
        <v>0.0014</v>
      </c>
      <c r="T309" s="2" t="n">
        <v>-1</v>
      </c>
      <c r="U309" s="2" t="n">
        <v>0.0014</v>
      </c>
      <c r="V309" s="2" t="s">
        <v>46</v>
      </c>
      <c r="W309" s="2" t="s">
        <v>46</v>
      </c>
      <c r="X309" s="2" t="s">
        <v>46</v>
      </c>
      <c r="Y309" s="2" t="s">
        <v>46</v>
      </c>
      <c r="Z309" s="2" t="s">
        <v>46</v>
      </c>
      <c r="AA309" s="2" t="s">
        <v>46</v>
      </c>
      <c r="AB309" s="2" t="s">
        <v>46</v>
      </c>
      <c r="AC309" s="2" t="s">
        <v>52</v>
      </c>
      <c r="AD309" s="2" t="s">
        <v>53</v>
      </c>
      <c r="AE309" s="2" t="s">
        <v>46</v>
      </c>
      <c r="AF309" s="2" t="s">
        <v>46</v>
      </c>
      <c r="AG309" s="2" t="s">
        <v>46</v>
      </c>
      <c r="AH309" s="2" t="s">
        <v>46</v>
      </c>
      <c r="AI309" s="2" t="s">
        <v>46</v>
      </c>
      <c r="AJ309" s="2" t="s">
        <v>46</v>
      </c>
      <c r="AK309" s="2" t="s">
        <v>46</v>
      </c>
      <c r="AL309" s="2" t="s">
        <v>46</v>
      </c>
    </row>
    <row r="310" customFormat="false" ht="15" hidden="false" customHeight="false" outlineLevel="0" collapsed="false">
      <c r="B310" s="0" t="str">
        <f aca="false">HYPERLINK("https://genome.ucsc.edu/cgi-bin/hgTracks?db=hg19&amp;position=chr7%3A142460045%2D142460045", "chr7:142460045")</f>
        <v>chr7:142460045</v>
      </c>
      <c r="C310" s="0" t="s">
        <v>57</v>
      </c>
      <c r="D310" s="0" t="n">
        <v>142460045</v>
      </c>
      <c r="E310" s="0" t="n">
        <v>142460045</v>
      </c>
      <c r="F310" s="0" t="s">
        <v>40</v>
      </c>
      <c r="G310" s="0" t="s">
        <v>39</v>
      </c>
      <c r="H310" s="0" t="s">
        <v>1912</v>
      </c>
      <c r="I310" s="0" t="s">
        <v>1144</v>
      </c>
      <c r="J310" s="0" t="s">
        <v>1913</v>
      </c>
      <c r="K310" s="0" t="s">
        <v>46</v>
      </c>
      <c r="L310" s="0" t="str">
        <f aca="false">HYPERLINK("https://www.ncbi.nlm.nih.gov/snp/rs367991574", "rs367991574")</f>
        <v>rs367991574</v>
      </c>
      <c r="M310" s="0" t="str">
        <f aca="false">HYPERLINK("https://www.genecards.org/Search/Keyword?queryString=%5Baliases%5D(%20PRSS1%20)%20OR%20%5Baliases%5D(%20TCRVB%20)&amp;keywords=PRSS1,TCRVB", "PRSS1;TCRVB")</f>
        <v>PRSS1;TCRVB</v>
      </c>
      <c r="N310" s="0" t="s">
        <v>366</v>
      </c>
      <c r="O310" s="0" t="s">
        <v>46</v>
      </c>
      <c r="P310" s="0" t="s">
        <v>46</v>
      </c>
      <c r="Q310" s="0" t="n">
        <v>0.000461</v>
      </c>
      <c r="R310" s="0" t="n">
        <v>-1</v>
      </c>
      <c r="S310" s="0" t="n">
        <v>-1</v>
      </c>
      <c r="T310" s="0" t="n">
        <v>-1</v>
      </c>
      <c r="U310" s="0" t="n">
        <v>-1</v>
      </c>
      <c r="V310" s="0" t="s">
        <v>46</v>
      </c>
      <c r="W310" s="0" t="s">
        <v>46</v>
      </c>
      <c r="X310" s="0" t="s">
        <v>340</v>
      </c>
      <c r="Y310" s="0" t="s">
        <v>64</v>
      </c>
      <c r="Z310" s="0" t="s">
        <v>46</v>
      </c>
      <c r="AA310" s="0" t="s">
        <v>46</v>
      </c>
      <c r="AB310" s="0" t="s">
        <v>46</v>
      </c>
      <c r="AC310" s="0" t="s">
        <v>52</v>
      </c>
      <c r="AD310" s="0" t="s">
        <v>1914</v>
      </c>
      <c r="AE310" s="0" t="s">
        <v>1915</v>
      </c>
      <c r="AF310" s="0" t="s">
        <v>1916</v>
      </c>
      <c r="AG310" s="0" t="s">
        <v>1917</v>
      </c>
      <c r="AH310" s="0" t="s">
        <v>1918</v>
      </c>
      <c r="AI310" s="0" t="s">
        <v>46</v>
      </c>
      <c r="AJ310" s="0" t="s">
        <v>46</v>
      </c>
      <c r="AK310" s="0" t="s">
        <v>46</v>
      </c>
      <c r="AL310" s="0" t="s">
        <v>46</v>
      </c>
    </row>
    <row r="311" customFormat="false" ht="15" hidden="false" customHeight="false" outlineLevel="0" collapsed="false">
      <c r="B311" s="0" t="str">
        <f aca="false">HYPERLINK("https://genome.ucsc.edu/cgi-bin/hgTracks?db=hg19&amp;position=chr7%3A142460046%2D142460046", "chr7:142460046")</f>
        <v>chr7:142460046</v>
      </c>
      <c r="C311" s="0" t="s">
        <v>57</v>
      </c>
      <c r="D311" s="0" t="n">
        <v>142460046</v>
      </c>
      <c r="E311" s="0" t="n">
        <v>142460046</v>
      </c>
      <c r="F311" s="0" t="s">
        <v>39</v>
      </c>
      <c r="G311" s="0" t="s">
        <v>58</v>
      </c>
      <c r="H311" s="0" t="s">
        <v>1919</v>
      </c>
      <c r="I311" s="0" t="s">
        <v>1418</v>
      </c>
      <c r="J311" s="0" t="s">
        <v>1609</v>
      </c>
      <c r="K311" s="0" t="s">
        <v>46</v>
      </c>
      <c r="L311" s="0" t="str">
        <f aca="false">HYPERLINK("https://www.ncbi.nlm.nih.gov/snp/rs371778638", "rs371778638")</f>
        <v>rs371778638</v>
      </c>
      <c r="M311" s="0" t="str">
        <f aca="false">HYPERLINK("https://www.genecards.org/Search/Keyword?queryString=%5Baliases%5D(%20PRSS1%20)%20OR%20%5Baliases%5D(%20TCRVB%20)&amp;keywords=PRSS1,TCRVB", "PRSS1;TCRVB")</f>
        <v>PRSS1;TCRVB</v>
      </c>
      <c r="N311" s="0" t="s">
        <v>366</v>
      </c>
      <c r="O311" s="0" t="s">
        <v>46</v>
      </c>
      <c r="P311" s="0" t="s">
        <v>46</v>
      </c>
      <c r="Q311" s="0" t="n">
        <v>0.0004226</v>
      </c>
      <c r="R311" s="0" t="n">
        <v>-1</v>
      </c>
      <c r="S311" s="0" t="n">
        <v>-1</v>
      </c>
      <c r="T311" s="0" t="n">
        <v>-1</v>
      </c>
      <c r="U311" s="0" t="n">
        <v>-1</v>
      </c>
      <c r="V311" s="0" t="s">
        <v>46</v>
      </c>
      <c r="W311" s="0" t="s">
        <v>46</v>
      </c>
      <c r="X311" s="0" t="s">
        <v>340</v>
      </c>
      <c r="Y311" s="0" t="s">
        <v>64</v>
      </c>
      <c r="Z311" s="0" t="s">
        <v>46</v>
      </c>
      <c r="AA311" s="0" t="s">
        <v>46</v>
      </c>
      <c r="AB311" s="0" t="s">
        <v>46</v>
      </c>
      <c r="AC311" s="0" t="s">
        <v>52</v>
      </c>
      <c r="AD311" s="0" t="s">
        <v>1914</v>
      </c>
      <c r="AE311" s="0" t="s">
        <v>1915</v>
      </c>
      <c r="AF311" s="0" t="s">
        <v>1916</v>
      </c>
      <c r="AG311" s="0" t="s">
        <v>1917</v>
      </c>
      <c r="AH311" s="0" t="s">
        <v>1918</v>
      </c>
      <c r="AI311" s="0" t="s">
        <v>46</v>
      </c>
      <c r="AJ311" s="0" t="s">
        <v>46</v>
      </c>
      <c r="AK311" s="0" t="s">
        <v>46</v>
      </c>
      <c r="AL311" s="0" t="s">
        <v>46</v>
      </c>
    </row>
    <row r="312" customFormat="false" ht="15" hidden="false" customHeight="false" outlineLevel="0" collapsed="false">
      <c r="B312" s="0" t="str">
        <f aca="false">HYPERLINK("https://genome.ucsc.edu/cgi-bin/hgTracks?db=hg19&amp;position=chr7%3A142460255%2D142460255", "chr7:142460255")</f>
        <v>chr7:142460255</v>
      </c>
      <c r="C312" s="0" t="s">
        <v>57</v>
      </c>
      <c r="D312" s="0" t="n">
        <v>142460255</v>
      </c>
      <c r="E312" s="0" t="n">
        <v>142460255</v>
      </c>
      <c r="F312" s="0" t="s">
        <v>40</v>
      </c>
      <c r="G312" s="0" t="s">
        <v>312</v>
      </c>
      <c r="H312" s="0" t="s">
        <v>1920</v>
      </c>
      <c r="I312" s="0" t="s">
        <v>1921</v>
      </c>
      <c r="J312" s="0" t="s">
        <v>1922</v>
      </c>
      <c r="K312" s="0" t="s">
        <v>46</v>
      </c>
      <c r="L312" s="0" t="str">
        <f aca="false">HYPERLINK("https://www.ncbi.nlm.nih.gov/snp/rs376880201", "rs376880201")</f>
        <v>rs376880201</v>
      </c>
      <c r="M312" s="0" t="str">
        <f aca="false">HYPERLINK("https://www.genecards.org/Search/Keyword?queryString=%5Baliases%5D(%20PRSS1%20)%20OR%20%5Baliases%5D(%20TCRVB%20)&amp;keywords=PRSS1,TCRVB", "PRSS1;TCRVB")</f>
        <v>PRSS1;TCRVB</v>
      </c>
      <c r="N312" s="0" t="s">
        <v>366</v>
      </c>
      <c r="O312" s="0" t="s">
        <v>46</v>
      </c>
      <c r="P312" s="0" t="s">
        <v>46</v>
      </c>
      <c r="Q312" s="0" t="n">
        <v>0.0051</v>
      </c>
      <c r="R312" s="0" t="n">
        <v>0.0053</v>
      </c>
      <c r="S312" s="0" t="n">
        <v>0.0051</v>
      </c>
      <c r="T312" s="0" t="n">
        <v>-1</v>
      </c>
      <c r="U312" s="0" t="n">
        <v>0.0033</v>
      </c>
      <c r="V312" s="0" t="s">
        <v>46</v>
      </c>
      <c r="W312" s="0" t="s">
        <v>46</v>
      </c>
      <c r="X312" s="0" t="s">
        <v>46</v>
      </c>
      <c r="Y312" s="0" t="s">
        <v>46</v>
      </c>
      <c r="Z312" s="0" t="s">
        <v>46</v>
      </c>
      <c r="AA312" s="0" t="s">
        <v>46</v>
      </c>
      <c r="AB312" s="0" t="s">
        <v>46</v>
      </c>
      <c r="AC312" s="0" t="s">
        <v>52</v>
      </c>
      <c r="AD312" s="0" t="s">
        <v>1914</v>
      </c>
      <c r="AE312" s="0" t="s">
        <v>1915</v>
      </c>
      <c r="AF312" s="0" t="s">
        <v>1916</v>
      </c>
      <c r="AG312" s="0" t="s">
        <v>1917</v>
      </c>
      <c r="AH312" s="0" t="s">
        <v>1918</v>
      </c>
      <c r="AI312" s="0" t="s">
        <v>46</v>
      </c>
      <c r="AJ312" s="0" t="s">
        <v>46</v>
      </c>
      <c r="AK312" s="0" t="s">
        <v>46</v>
      </c>
      <c r="AL312" s="0" t="s">
        <v>46</v>
      </c>
    </row>
    <row r="313" customFormat="false" ht="15" hidden="false" customHeight="false" outlineLevel="0" collapsed="false">
      <c r="B313" s="0" t="str">
        <f aca="false">HYPERLINK("https://genome.ucsc.edu/cgi-bin/hgTracks?db=hg19&amp;position=chr7%3A142460614%2D142460614", "chr7:142460614")</f>
        <v>chr7:142460614</v>
      </c>
      <c r="C313" s="0" t="s">
        <v>57</v>
      </c>
      <c r="D313" s="0" t="n">
        <v>142460614</v>
      </c>
      <c r="E313" s="0" t="n">
        <v>142460614</v>
      </c>
      <c r="F313" s="0" t="s">
        <v>72</v>
      </c>
      <c r="G313" s="0" t="s">
        <v>58</v>
      </c>
      <c r="H313" s="0" t="s">
        <v>1923</v>
      </c>
      <c r="I313" s="0" t="s">
        <v>297</v>
      </c>
      <c r="J313" s="0" t="s">
        <v>1924</v>
      </c>
      <c r="K313" s="0" t="s">
        <v>46</v>
      </c>
      <c r="L313" s="0" t="str">
        <f aca="false">HYPERLINK("https://www.ncbi.nlm.nih.gov/snp/rs373440695", "rs373440695")</f>
        <v>rs373440695</v>
      </c>
      <c r="M313" s="0" t="str">
        <f aca="false">HYPERLINK("https://www.genecards.org/Search/Keyword?queryString=%5Baliases%5D(%20PRSS1%20)%20OR%20%5Baliases%5D(%20TCRVB%20)&amp;keywords=PRSS1,TCRVB", "PRSS1;TCRVB")</f>
        <v>PRSS1;TCRVB</v>
      </c>
      <c r="N313" s="0" t="s">
        <v>366</v>
      </c>
      <c r="O313" s="0" t="s">
        <v>46</v>
      </c>
      <c r="P313" s="0" t="s">
        <v>46</v>
      </c>
      <c r="Q313" s="0" t="n">
        <v>0.026273</v>
      </c>
      <c r="R313" s="0" t="n">
        <v>-1</v>
      </c>
      <c r="S313" s="0" t="n">
        <v>-1</v>
      </c>
      <c r="T313" s="0" t="n">
        <v>-1</v>
      </c>
      <c r="U313" s="0" t="n">
        <v>-1</v>
      </c>
      <c r="V313" s="0" t="s">
        <v>46</v>
      </c>
      <c r="W313" s="0" t="s">
        <v>46</v>
      </c>
      <c r="X313" s="0" t="s">
        <v>340</v>
      </c>
      <c r="Y313" s="0" t="s">
        <v>64</v>
      </c>
      <c r="Z313" s="0" t="s">
        <v>46</v>
      </c>
      <c r="AA313" s="0" t="s">
        <v>46</v>
      </c>
      <c r="AB313" s="0" t="s">
        <v>46</v>
      </c>
      <c r="AC313" s="0" t="s">
        <v>52</v>
      </c>
      <c r="AD313" s="0" t="s">
        <v>1914</v>
      </c>
      <c r="AE313" s="0" t="s">
        <v>1915</v>
      </c>
      <c r="AF313" s="0" t="s">
        <v>1916</v>
      </c>
      <c r="AG313" s="0" t="s">
        <v>1917</v>
      </c>
      <c r="AH313" s="0" t="s">
        <v>1918</v>
      </c>
      <c r="AI313" s="0" t="s">
        <v>46</v>
      </c>
      <c r="AJ313" s="0" t="s">
        <v>46</v>
      </c>
      <c r="AK313" s="0" t="s">
        <v>46</v>
      </c>
      <c r="AL313" s="0" t="s">
        <v>46</v>
      </c>
    </row>
    <row r="314" customFormat="false" ht="15" hidden="false" customHeight="false" outlineLevel="0" collapsed="false">
      <c r="B314" s="0" t="str">
        <f aca="false">HYPERLINK("https://genome.ucsc.edu/cgi-bin/hgTracks?db=hg19&amp;position=chr7%3A142460642%2D142460642", "chr7:142460642")</f>
        <v>chr7:142460642</v>
      </c>
      <c r="C314" s="0" t="s">
        <v>57</v>
      </c>
      <c r="D314" s="0" t="n">
        <v>142460642</v>
      </c>
      <c r="E314" s="0" t="n">
        <v>142460642</v>
      </c>
      <c r="F314" s="0" t="s">
        <v>58</v>
      </c>
      <c r="G314" s="0" t="s">
        <v>40</v>
      </c>
      <c r="H314" s="0" t="s">
        <v>1925</v>
      </c>
      <c r="I314" s="0" t="s">
        <v>1479</v>
      </c>
      <c r="J314" s="0" t="s">
        <v>1926</v>
      </c>
      <c r="K314" s="0" t="s">
        <v>46</v>
      </c>
      <c r="L314" s="0" t="str">
        <f aca="false">HYPERLINK("https://www.ncbi.nlm.nih.gov/snp/rs373536377", "rs373536377")</f>
        <v>rs373536377</v>
      </c>
      <c r="M314" s="0" t="str">
        <f aca="false">HYPERLINK("https://www.genecards.org/Search/Keyword?queryString=%5Baliases%5D(%20PRSS1%20)%20OR%20%5Baliases%5D(%20TCRVB%20)&amp;keywords=PRSS1,TCRVB", "PRSS1;TCRVB")</f>
        <v>PRSS1;TCRVB</v>
      </c>
      <c r="N314" s="0" t="s">
        <v>366</v>
      </c>
      <c r="O314" s="0" t="s">
        <v>46</v>
      </c>
      <c r="P314" s="0" t="s">
        <v>46</v>
      </c>
      <c r="Q314" s="0" t="n">
        <v>0.0022668</v>
      </c>
      <c r="R314" s="0" t="n">
        <v>-1</v>
      </c>
      <c r="S314" s="0" t="n">
        <v>-1</v>
      </c>
      <c r="T314" s="0" t="n">
        <v>-1</v>
      </c>
      <c r="U314" s="0" t="n">
        <v>-1</v>
      </c>
      <c r="V314" s="0" t="s">
        <v>46</v>
      </c>
      <c r="W314" s="0" t="s">
        <v>46</v>
      </c>
      <c r="X314" s="0" t="s">
        <v>340</v>
      </c>
      <c r="Y314" s="0" t="s">
        <v>64</v>
      </c>
      <c r="Z314" s="0" t="s">
        <v>46</v>
      </c>
      <c r="AA314" s="0" t="s">
        <v>46</v>
      </c>
      <c r="AB314" s="0" t="s">
        <v>46</v>
      </c>
      <c r="AC314" s="0" t="s">
        <v>52</v>
      </c>
      <c r="AD314" s="0" t="s">
        <v>1914</v>
      </c>
      <c r="AE314" s="0" t="s">
        <v>1915</v>
      </c>
      <c r="AF314" s="0" t="s">
        <v>1916</v>
      </c>
      <c r="AG314" s="0" t="s">
        <v>1917</v>
      </c>
      <c r="AH314" s="0" t="s">
        <v>1918</v>
      </c>
      <c r="AI314" s="0" t="s">
        <v>929</v>
      </c>
      <c r="AJ314" s="0" t="s">
        <v>46</v>
      </c>
      <c r="AK314" s="0" t="s">
        <v>46</v>
      </c>
      <c r="AL314" s="0" t="s">
        <v>46</v>
      </c>
    </row>
    <row r="315" customFormat="false" ht="15" hidden="false" customHeight="false" outlineLevel="0" collapsed="false">
      <c r="B315" s="0" t="str">
        <f aca="false">HYPERLINK("https://genome.ucsc.edu/cgi-bin/hgTracks?db=hg19&amp;position=chr7%3A142460660%2D142460660", "chr7:142460660")</f>
        <v>chr7:142460660</v>
      </c>
      <c r="C315" s="0" t="s">
        <v>57</v>
      </c>
      <c r="D315" s="0" t="n">
        <v>142460660</v>
      </c>
      <c r="E315" s="0" t="n">
        <v>142460660</v>
      </c>
      <c r="F315" s="0" t="s">
        <v>39</v>
      </c>
      <c r="G315" s="0" t="s">
        <v>40</v>
      </c>
      <c r="H315" s="0" t="s">
        <v>1927</v>
      </c>
      <c r="I315" s="0" t="s">
        <v>537</v>
      </c>
      <c r="J315" s="0" t="s">
        <v>1928</v>
      </c>
      <c r="K315" s="0" t="s">
        <v>46</v>
      </c>
      <c r="L315" s="0" t="str">
        <f aca="false">HYPERLINK("https://www.ncbi.nlm.nih.gov/snp/rs796239652", "rs796239652")</f>
        <v>rs796239652</v>
      </c>
      <c r="M315" s="0" t="str">
        <f aca="false">HYPERLINK("https://www.genecards.org/Search/Keyword?queryString=%5Baliases%5D(%20PRSS1%20)%20OR%20%5Baliases%5D(%20TCRVB%20)&amp;keywords=PRSS1,TCRVB", "PRSS1;TCRVB")</f>
        <v>PRSS1;TCRVB</v>
      </c>
      <c r="N315" s="0" t="s">
        <v>366</v>
      </c>
      <c r="O315" s="0" t="s">
        <v>46</v>
      </c>
      <c r="P315" s="0" t="s">
        <v>46</v>
      </c>
      <c r="Q315" s="0" t="n">
        <v>0.0004226</v>
      </c>
      <c r="R315" s="0" t="n">
        <v>-1</v>
      </c>
      <c r="S315" s="0" t="n">
        <v>-1</v>
      </c>
      <c r="T315" s="0" t="n">
        <v>-1</v>
      </c>
      <c r="U315" s="0" t="n">
        <v>-1</v>
      </c>
      <c r="V315" s="0" t="s">
        <v>46</v>
      </c>
      <c r="W315" s="0" t="s">
        <v>46</v>
      </c>
      <c r="X315" s="0" t="s">
        <v>340</v>
      </c>
      <c r="Y315" s="0" t="s">
        <v>64</v>
      </c>
      <c r="Z315" s="0" t="s">
        <v>46</v>
      </c>
      <c r="AA315" s="0" t="s">
        <v>46</v>
      </c>
      <c r="AB315" s="0" t="s">
        <v>46</v>
      </c>
      <c r="AC315" s="0" t="s">
        <v>52</v>
      </c>
      <c r="AD315" s="0" t="s">
        <v>1914</v>
      </c>
      <c r="AE315" s="0" t="s">
        <v>1915</v>
      </c>
      <c r="AF315" s="0" t="s">
        <v>1916</v>
      </c>
      <c r="AG315" s="0" t="s">
        <v>1917</v>
      </c>
      <c r="AH315" s="0" t="s">
        <v>1918</v>
      </c>
      <c r="AI315" s="0" t="s">
        <v>46</v>
      </c>
      <c r="AJ315" s="0" t="s">
        <v>46</v>
      </c>
      <c r="AK315" s="0" t="s">
        <v>46</v>
      </c>
      <c r="AL315" s="0" t="s">
        <v>46</v>
      </c>
    </row>
    <row r="316" customFormat="false" ht="15" hidden="false" customHeight="false" outlineLevel="0" collapsed="false">
      <c r="B316" s="0" t="str">
        <f aca="false">HYPERLINK("https://genome.ucsc.edu/cgi-bin/hgTracks?db=hg19&amp;position=chr7%3A142470773%2D142470773", "chr7:142470773")</f>
        <v>chr7:142470773</v>
      </c>
      <c r="C316" s="0" t="s">
        <v>57</v>
      </c>
      <c r="D316" s="0" t="n">
        <v>142470773</v>
      </c>
      <c r="E316" s="0" t="n">
        <v>142470773</v>
      </c>
      <c r="F316" s="0" t="s">
        <v>72</v>
      </c>
      <c r="G316" s="0" t="s">
        <v>58</v>
      </c>
      <c r="H316" s="0" t="s">
        <v>1929</v>
      </c>
      <c r="I316" s="0" t="s">
        <v>1930</v>
      </c>
      <c r="J316" s="0" t="s">
        <v>1931</v>
      </c>
      <c r="K316" s="0" t="s">
        <v>46</v>
      </c>
      <c r="L316" s="0" t="str">
        <f aca="false">HYPERLINK("https://www.ncbi.nlm.nih.gov/snp/rs879144012", "rs879144012")</f>
        <v>rs879144012</v>
      </c>
      <c r="M316" s="0" t="str">
        <f aca="false">HYPERLINK("https://www.genecards.org/Search/Keyword?queryString=%5Baliases%5D(%20BV6S4-BJ2S2%20)%20OR%20%5Baliases%5D(%20TCRVB%20)&amp;keywords=BV6S4-BJ2S2,TCRVB", "BV6S4-BJ2S2;TCRVB")</f>
        <v>BV6S4-BJ2S2;TCRVB</v>
      </c>
      <c r="N316" s="0" t="s">
        <v>1932</v>
      </c>
      <c r="O316" s="0" t="s">
        <v>46</v>
      </c>
      <c r="P316" s="0" t="s">
        <v>1933</v>
      </c>
      <c r="Q316" s="0" t="n">
        <v>0.0006916</v>
      </c>
      <c r="R316" s="0" t="n">
        <v>-1</v>
      </c>
      <c r="S316" s="0" t="n">
        <v>-1</v>
      </c>
      <c r="T316" s="0" t="n">
        <v>-1</v>
      </c>
      <c r="U316" s="0" t="n">
        <v>-1</v>
      </c>
      <c r="V316" s="0" t="s">
        <v>46</v>
      </c>
      <c r="W316" s="0" t="s">
        <v>46</v>
      </c>
      <c r="X316" s="0" t="s">
        <v>46</v>
      </c>
      <c r="Y316" s="0" t="s">
        <v>46</v>
      </c>
      <c r="Z316" s="0" t="s">
        <v>46</v>
      </c>
      <c r="AA316" s="0" t="s">
        <v>46</v>
      </c>
      <c r="AB316" s="0" t="s">
        <v>46</v>
      </c>
      <c r="AC316" s="0" t="s">
        <v>52</v>
      </c>
      <c r="AD316" s="0" t="s">
        <v>1934</v>
      </c>
      <c r="AE316" s="0" t="s">
        <v>46</v>
      </c>
      <c r="AF316" s="0" t="s">
        <v>46</v>
      </c>
      <c r="AG316" s="0" t="s">
        <v>46</v>
      </c>
      <c r="AH316" s="0" t="s">
        <v>46</v>
      </c>
      <c r="AI316" s="0" t="s">
        <v>46</v>
      </c>
      <c r="AJ316" s="0" t="s">
        <v>46</v>
      </c>
      <c r="AK316" s="0" t="s">
        <v>46</v>
      </c>
      <c r="AL316" s="0" t="s">
        <v>46</v>
      </c>
    </row>
    <row r="317" customFormat="false" ht="15" hidden="false" customHeight="false" outlineLevel="0" collapsed="false">
      <c r="B317" s="0" t="str">
        <f aca="false">HYPERLINK("https://genome.ucsc.edu/cgi-bin/hgTracks?db=hg19&amp;position=chr8%3A12863841%2D12863869", "chr8:12863841")</f>
        <v>chr8:12863841</v>
      </c>
      <c r="C317" s="0" t="s">
        <v>535</v>
      </c>
      <c r="D317" s="0" t="n">
        <v>12863841</v>
      </c>
      <c r="E317" s="0" t="n">
        <v>12863869</v>
      </c>
      <c r="F317" s="0" t="s">
        <v>1935</v>
      </c>
      <c r="G317" s="0" t="s">
        <v>312</v>
      </c>
      <c r="H317" s="0" t="s">
        <v>1936</v>
      </c>
      <c r="I317" s="0" t="s">
        <v>424</v>
      </c>
      <c r="J317" s="0" t="s">
        <v>1937</v>
      </c>
      <c r="K317" s="0" t="s">
        <v>46</v>
      </c>
      <c r="L317" s="0" t="str">
        <f aca="false">HYPERLINK("https://www.ncbi.nlm.nih.gov/snp/rs71207112", "rs71207112")</f>
        <v>rs71207112</v>
      </c>
      <c r="M317" s="0" t="str">
        <f aca="false">HYPERLINK("https://www.genecards.org/Search/Keyword?queryString=%5Baliases%5D(%20KIAA1456%20)%20OR%20%5Baliases%5D(%20TRMT9B%20)&amp;keywords=KIAA1456,TRMT9B", "KIAA1456;TRMT9B")</f>
        <v>KIAA1456;TRMT9B</v>
      </c>
      <c r="N317" s="0" t="s">
        <v>77</v>
      </c>
      <c r="O317" s="0" t="s">
        <v>1938</v>
      </c>
      <c r="P317" s="0" t="s">
        <v>1939</v>
      </c>
      <c r="Q317" s="0" t="n">
        <v>0.0018</v>
      </c>
      <c r="R317" s="0" t="n">
        <v>0.0003</v>
      </c>
      <c r="S317" s="0" t="n">
        <v>0.0003</v>
      </c>
      <c r="T317" s="0" t="n">
        <v>-1</v>
      </c>
      <c r="U317" s="0" t="n">
        <v>0.0005</v>
      </c>
      <c r="V317" s="0" t="s">
        <v>46</v>
      </c>
      <c r="W317" s="0" t="s">
        <v>46</v>
      </c>
      <c r="X317" s="0" t="s">
        <v>46</v>
      </c>
      <c r="Y317" s="0" t="s">
        <v>46</v>
      </c>
      <c r="Z317" s="0" t="s">
        <v>46</v>
      </c>
      <c r="AA317" s="0" t="s">
        <v>46</v>
      </c>
      <c r="AB317" s="0" t="s">
        <v>46</v>
      </c>
      <c r="AC317" s="0" t="s">
        <v>52</v>
      </c>
      <c r="AD317" s="0" t="s">
        <v>182</v>
      </c>
      <c r="AE317" s="0" t="s">
        <v>46</v>
      </c>
      <c r="AF317" s="0" t="s">
        <v>1940</v>
      </c>
      <c r="AG317" s="0" t="s">
        <v>46</v>
      </c>
      <c r="AH317" s="0" t="s">
        <v>46</v>
      </c>
      <c r="AI317" s="0" t="s">
        <v>46</v>
      </c>
      <c r="AJ317" s="0" t="s">
        <v>46</v>
      </c>
      <c r="AK317" s="0" t="s">
        <v>46</v>
      </c>
      <c r="AL317" s="0" t="s">
        <v>46</v>
      </c>
    </row>
    <row r="318" customFormat="false" ht="15" hidden="false" customHeight="false" outlineLevel="0" collapsed="false">
      <c r="B318" s="0" t="str">
        <f aca="false">HYPERLINK("https://genome.ucsc.edu/cgi-bin/hgTracks?db=hg19&amp;position=chr8%3A17796212%2D17796212", "chr8:17796212")</f>
        <v>chr8:17796212</v>
      </c>
      <c r="C318" s="0" t="s">
        <v>535</v>
      </c>
      <c r="D318" s="0" t="n">
        <v>17796212</v>
      </c>
      <c r="E318" s="0" t="n">
        <v>17796212</v>
      </c>
      <c r="F318" s="0" t="s">
        <v>39</v>
      </c>
      <c r="G318" s="0" t="s">
        <v>72</v>
      </c>
      <c r="H318" s="0" t="s">
        <v>1941</v>
      </c>
      <c r="I318" s="0" t="s">
        <v>1942</v>
      </c>
      <c r="J318" s="0" t="s">
        <v>1943</v>
      </c>
      <c r="K318" s="0" t="s">
        <v>46</v>
      </c>
      <c r="L318" s="0" t="str">
        <f aca="false">HYPERLINK("https://www.ncbi.nlm.nih.gov/snp/rs190992531", "rs190992531")</f>
        <v>rs190992531</v>
      </c>
      <c r="M318" s="0" t="str">
        <f aca="false">HYPERLINK("https://www.genecards.org/Search/Keyword?queryString=%5Baliases%5D(%20PCM1%20)&amp;keywords=PCM1", "PCM1")</f>
        <v>PCM1</v>
      </c>
      <c r="N318" s="0" t="s">
        <v>63</v>
      </c>
      <c r="O318" s="0" t="s">
        <v>46</v>
      </c>
      <c r="P318" s="0" t="s">
        <v>46</v>
      </c>
      <c r="Q318" s="0" t="n">
        <v>0.0115</v>
      </c>
      <c r="R318" s="0" t="n">
        <v>0.0033</v>
      </c>
      <c r="S318" s="0" t="n">
        <v>0.0036</v>
      </c>
      <c r="T318" s="0" t="n">
        <v>-1</v>
      </c>
      <c r="U318" s="0" t="n">
        <v>0.0018</v>
      </c>
      <c r="V318" s="0" t="s">
        <v>46</v>
      </c>
      <c r="W318" s="0" t="s">
        <v>46</v>
      </c>
      <c r="X318" s="0" t="s">
        <v>49</v>
      </c>
      <c r="Y318" s="0" t="s">
        <v>64</v>
      </c>
      <c r="Z318" s="0" t="s">
        <v>46</v>
      </c>
      <c r="AA318" s="0" t="s">
        <v>46</v>
      </c>
      <c r="AB318" s="0" t="s">
        <v>46</v>
      </c>
      <c r="AC318" s="0" t="s">
        <v>52</v>
      </c>
      <c r="AD318" s="0" t="s">
        <v>53</v>
      </c>
      <c r="AE318" s="0" t="s">
        <v>46</v>
      </c>
      <c r="AF318" s="0" t="s">
        <v>1944</v>
      </c>
      <c r="AG318" s="0" t="s">
        <v>1945</v>
      </c>
      <c r="AH318" s="0" t="s">
        <v>1946</v>
      </c>
      <c r="AI318" s="0" t="s">
        <v>46</v>
      </c>
      <c r="AJ318" s="0" t="s">
        <v>46</v>
      </c>
      <c r="AK318" s="0" t="s">
        <v>46</v>
      </c>
      <c r="AL318" s="0" t="s">
        <v>46</v>
      </c>
    </row>
    <row r="319" customFormat="false" ht="15" hidden="false" customHeight="false" outlineLevel="0" collapsed="false">
      <c r="B319" s="0" t="str">
        <f aca="false">HYPERLINK("https://genome.ucsc.edu/cgi-bin/hgTracks?db=hg19&amp;position=chr8%3A17942448%2D17942448", "chr8:17942448")</f>
        <v>chr8:17942448</v>
      </c>
      <c r="C319" s="0" t="s">
        <v>535</v>
      </c>
      <c r="D319" s="0" t="n">
        <v>17942448</v>
      </c>
      <c r="E319" s="0" t="n">
        <v>17942448</v>
      </c>
      <c r="F319" s="0" t="s">
        <v>58</v>
      </c>
      <c r="G319" s="0" t="s">
        <v>39</v>
      </c>
      <c r="H319" s="0" t="s">
        <v>1947</v>
      </c>
      <c r="I319" s="0" t="s">
        <v>819</v>
      </c>
      <c r="J319" s="0" t="s">
        <v>1948</v>
      </c>
      <c r="K319" s="0" t="s">
        <v>46</v>
      </c>
      <c r="L319" s="0" t="str">
        <f aca="false">HYPERLINK("https://www.ncbi.nlm.nih.gov/snp/rs531134948", "rs531134948")</f>
        <v>rs531134948</v>
      </c>
      <c r="M319" s="0" t="str">
        <f aca="false">HYPERLINK("https://www.genecards.org/Search/Keyword?queryString=%5Baliases%5D(%20ASAH1%20)%20OR%20%5Baliases%5D(%20LOC101929066%20)&amp;keywords=ASAH1,LOC101929066", "ASAH1;LOC101929066")</f>
        <v>ASAH1;LOC101929066</v>
      </c>
      <c r="N319" s="0" t="s">
        <v>1252</v>
      </c>
      <c r="O319" s="0" t="s">
        <v>46</v>
      </c>
      <c r="P319" s="0" t="s">
        <v>1949</v>
      </c>
      <c r="Q319" s="0" t="n">
        <v>0.0001</v>
      </c>
      <c r="R319" s="0" t="n">
        <v>0.0002</v>
      </c>
      <c r="S319" s="0" t="n">
        <v>0.0001</v>
      </c>
      <c r="T319" s="0" t="n">
        <v>-1</v>
      </c>
      <c r="U319" s="0" t="n">
        <v>0.0002</v>
      </c>
      <c r="V319" s="0" t="s">
        <v>46</v>
      </c>
      <c r="W319" s="0" t="s">
        <v>46</v>
      </c>
      <c r="X319" s="0" t="s">
        <v>46</v>
      </c>
      <c r="Y319" s="0" t="s">
        <v>46</v>
      </c>
      <c r="Z319" s="0" t="s">
        <v>46</v>
      </c>
      <c r="AA319" s="0" t="s">
        <v>46</v>
      </c>
      <c r="AB319" s="0" t="s">
        <v>46</v>
      </c>
      <c r="AC319" s="0" t="s">
        <v>52</v>
      </c>
      <c r="AD319" s="0" t="s">
        <v>182</v>
      </c>
      <c r="AE319" s="0" t="s">
        <v>1950</v>
      </c>
      <c r="AF319" s="0" t="s">
        <v>1951</v>
      </c>
      <c r="AG319" s="0" t="s">
        <v>1952</v>
      </c>
      <c r="AH319" s="0" t="s">
        <v>1953</v>
      </c>
      <c r="AI319" s="0" t="s">
        <v>46</v>
      </c>
      <c r="AJ319" s="0" t="s">
        <v>46</v>
      </c>
      <c r="AK319" s="0" t="s">
        <v>46</v>
      </c>
      <c r="AL319" s="0" t="s">
        <v>46</v>
      </c>
    </row>
    <row r="320" customFormat="false" ht="15" hidden="false" customHeight="false" outlineLevel="0" collapsed="false">
      <c r="B320" s="0" t="str">
        <f aca="false">HYPERLINK("https://genome.ucsc.edu/cgi-bin/hgTracks?db=hg19&amp;position=chr8%3A48614645%2D48614645", "chr8:48614645")</f>
        <v>chr8:48614645</v>
      </c>
      <c r="C320" s="0" t="s">
        <v>535</v>
      </c>
      <c r="D320" s="0" t="n">
        <v>48614645</v>
      </c>
      <c r="E320" s="0" t="n">
        <v>48614645</v>
      </c>
      <c r="F320" s="0" t="s">
        <v>39</v>
      </c>
      <c r="G320" s="0" t="s">
        <v>72</v>
      </c>
      <c r="H320" s="0" t="s">
        <v>1954</v>
      </c>
      <c r="I320" s="0" t="s">
        <v>1166</v>
      </c>
      <c r="J320" s="0" t="s">
        <v>1955</v>
      </c>
      <c r="K320" s="0" t="s">
        <v>46</v>
      </c>
      <c r="L320" s="0" t="s">
        <v>46</v>
      </c>
      <c r="M320" s="0" t="str">
        <f aca="false">HYPERLINK("https://www.genecards.org/Search/Keyword?queryString=%5Baliases%5D(%20KIAA0146%20)%20OR%20%5Baliases%5D(%20SPIDR%20)&amp;keywords=KIAA0146,SPIDR", "KIAA0146;SPIDR")</f>
        <v>KIAA0146;SPIDR</v>
      </c>
      <c r="N320" s="0" t="s">
        <v>63</v>
      </c>
      <c r="O320" s="0" t="s">
        <v>46</v>
      </c>
      <c r="P320" s="0" t="s">
        <v>46</v>
      </c>
      <c r="Q320" s="0" t="n">
        <v>0.0043</v>
      </c>
      <c r="R320" s="0" t="n">
        <v>0.0033</v>
      </c>
      <c r="S320" s="0" t="n">
        <v>0.0065</v>
      </c>
      <c r="T320" s="0" t="n">
        <v>-1</v>
      </c>
      <c r="U320" s="0" t="n">
        <v>0.0074</v>
      </c>
      <c r="V320" s="0" t="s">
        <v>46</v>
      </c>
      <c r="W320" s="0" t="s">
        <v>46</v>
      </c>
      <c r="X320" s="0" t="s">
        <v>49</v>
      </c>
      <c r="Y320" s="0" t="s">
        <v>64</v>
      </c>
      <c r="Z320" s="0" t="s">
        <v>46</v>
      </c>
      <c r="AA320" s="0" t="s">
        <v>46</v>
      </c>
      <c r="AB320" s="0" t="s">
        <v>46</v>
      </c>
      <c r="AC320" s="0" t="s">
        <v>319</v>
      </c>
      <c r="AD320" s="0" t="s">
        <v>182</v>
      </c>
      <c r="AE320" s="0" t="s">
        <v>1956</v>
      </c>
      <c r="AF320" s="0" t="s">
        <v>1957</v>
      </c>
      <c r="AG320" s="0" t="s">
        <v>1958</v>
      </c>
      <c r="AH320" s="0" t="s">
        <v>46</v>
      </c>
      <c r="AI320" s="0" t="s">
        <v>1959</v>
      </c>
      <c r="AJ320" s="0" t="s">
        <v>46</v>
      </c>
      <c r="AK320" s="0" t="s">
        <v>46</v>
      </c>
      <c r="AL320" s="0" t="s">
        <v>46</v>
      </c>
    </row>
    <row r="321" customFormat="false" ht="15" hidden="false" customHeight="false" outlineLevel="0" collapsed="false">
      <c r="B321" s="0" t="str">
        <f aca="false">HYPERLINK("https://genome.ucsc.edu/cgi-bin/hgTracks?db=hg19&amp;position=chr8%3A55586302%2D55586304", "chr8:55586302")</f>
        <v>chr8:55586302</v>
      </c>
      <c r="C321" s="0" t="s">
        <v>535</v>
      </c>
      <c r="D321" s="0" t="n">
        <v>55586302</v>
      </c>
      <c r="E321" s="0" t="n">
        <v>55586304</v>
      </c>
      <c r="F321" s="0" t="s">
        <v>1960</v>
      </c>
      <c r="G321" s="0" t="s">
        <v>312</v>
      </c>
      <c r="H321" s="0" t="s">
        <v>345</v>
      </c>
      <c r="I321" s="0" t="s">
        <v>687</v>
      </c>
      <c r="J321" s="0" t="s">
        <v>1961</v>
      </c>
      <c r="K321" s="0" t="s">
        <v>46</v>
      </c>
      <c r="L321" s="0" t="str">
        <f aca="false">HYPERLINK("https://www.ncbi.nlm.nih.gov/snp/rs756602903", "rs756602903")</f>
        <v>rs756602903</v>
      </c>
      <c r="M321" s="0" t="str">
        <f aca="false">HYPERLINK("https://www.genecards.org/Search/Keyword?queryString=%5Baliases%5D(%20RP1%20)&amp;keywords=RP1", "RP1")</f>
        <v>RP1</v>
      </c>
      <c r="N321" s="0" t="s">
        <v>727</v>
      </c>
      <c r="O321" s="0" t="s">
        <v>46</v>
      </c>
      <c r="P321" s="0" t="s">
        <v>1962</v>
      </c>
      <c r="Q321" s="0" t="n">
        <v>0.0013</v>
      </c>
      <c r="R321" s="0" t="n">
        <v>0.0013</v>
      </c>
      <c r="S321" s="0" t="n">
        <v>0.0015</v>
      </c>
      <c r="T321" s="0" t="n">
        <v>-1</v>
      </c>
      <c r="U321" s="0" t="n">
        <v>0.0022</v>
      </c>
      <c r="V321" s="0" t="s">
        <v>46</v>
      </c>
      <c r="W321" s="0" t="s">
        <v>46</v>
      </c>
      <c r="X321" s="0" t="s">
        <v>46</v>
      </c>
      <c r="Y321" s="0" t="s">
        <v>46</v>
      </c>
      <c r="Z321" s="0" t="s">
        <v>46</v>
      </c>
      <c r="AA321" s="0" t="s">
        <v>46</v>
      </c>
      <c r="AB321" s="0" t="s">
        <v>46</v>
      </c>
      <c r="AC321" s="0" t="s">
        <v>52</v>
      </c>
      <c r="AD321" s="0" t="s">
        <v>870</v>
      </c>
      <c r="AE321" s="0" t="s">
        <v>1963</v>
      </c>
      <c r="AF321" s="0" t="s">
        <v>1964</v>
      </c>
      <c r="AG321" s="0" t="s">
        <v>1965</v>
      </c>
      <c r="AH321" s="0" t="s">
        <v>1966</v>
      </c>
      <c r="AI321" s="0" t="s">
        <v>46</v>
      </c>
      <c r="AJ321" s="0" t="s">
        <v>46</v>
      </c>
      <c r="AK321" s="0" t="s">
        <v>46</v>
      </c>
      <c r="AL321" s="0" t="s">
        <v>46</v>
      </c>
    </row>
    <row r="322" customFormat="false" ht="15" hidden="false" customHeight="false" outlineLevel="0" collapsed="false">
      <c r="B322" s="0" t="str">
        <f aca="false">HYPERLINK("https://genome.ucsc.edu/cgi-bin/hgTracks?db=hg19&amp;position=chr8%3A55647368%2D55647369", "chr8:55647368")</f>
        <v>chr8:55647368</v>
      </c>
      <c r="C322" s="0" t="s">
        <v>535</v>
      </c>
      <c r="D322" s="0" t="n">
        <v>55647368</v>
      </c>
      <c r="E322" s="0" t="n">
        <v>55647369</v>
      </c>
      <c r="F322" s="0" t="s">
        <v>877</v>
      </c>
      <c r="G322" s="0" t="s">
        <v>312</v>
      </c>
      <c r="H322" s="0" t="s">
        <v>1967</v>
      </c>
      <c r="I322" s="0" t="s">
        <v>383</v>
      </c>
      <c r="J322" s="0" t="s">
        <v>1968</v>
      </c>
      <c r="K322" s="0" t="s">
        <v>46</v>
      </c>
      <c r="L322" s="0" t="str">
        <f aca="false">HYPERLINK("https://www.ncbi.nlm.nih.gov/snp/rs370295274", "rs370295274")</f>
        <v>rs370295274</v>
      </c>
      <c r="M322" s="0" t="str">
        <f aca="false">HYPERLINK("https://www.genecards.org/Search/Keyword?queryString=%5Baliases%5D(%20RP1%20)&amp;keywords=RP1", "RP1")</f>
        <v>RP1</v>
      </c>
      <c r="N322" s="0" t="s">
        <v>727</v>
      </c>
      <c r="O322" s="0" t="s">
        <v>46</v>
      </c>
      <c r="P322" s="0" t="s">
        <v>1969</v>
      </c>
      <c r="Q322" s="0" t="n">
        <v>0.0077</v>
      </c>
      <c r="R322" s="0" t="n">
        <v>0.0015</v>
      </c>
      <c r="S322" s="0" t="n">
        <v>0.0012</v>
      </c>
      <c r="T322" s="0" t="n">
        <v>-1</v>
      </c>
      <c r="U322" s="0" t="n">
        <v>0.0012</v>
      </c>
      <c r="V322" s="0" t="s">
        <v>46</v>
      </c>
      <c r="W322" s="0" t="s">
        <v>46</v>
      </c>
      <c r="X322" s="0" t="s">
        <v>46</v>
      </c>
      <c r="Y322" s="0" t="s">
        <v>46</v>
      </c>
      <c r="Z322" s="0" t="s">
        <v>46</v>
      </c>
      <c r="AA322" s="0" t="s">
        <v>46</v>
      </c>
      <c r="AB322" s="0" t="s">
        <v>46</v>
      </c>
      <c r="AC322" s="0" t="s">
        <v>52</v>
      </c>
      <c r="AD322" s="0" t="s">
        <v>870</v>
      </c>
      <c r="AE322" s="0" t="s">
        <v>1963</v>
      </c>
      <c r="AF322" s="0" t="s">
        <v>1964</v>
      </c>
      <c r="AG322" s="0" t="s">
        <v>1965</v>
      </c>
      <c r="AH322" s="0" t="s">
        <v>1966</v>
      </c>
      <c r="AI322" s="0" t="s">
        <v>46</v>
      </c>
      <c r="AJ322" s="0" t="s">
        <v>46</v>
      </c>
      <c r="AK322" s="0" t="s">
        <v>46</v>
      </c>
      <c r="AL322" s="0" t="s">
        <v>46</v>
      </c>
    </row>
    <row r="323" customFormat="false" ht="15" hidden="false" customHeight="false" outlineLevel="0" collapsed="false">
      <c r="B323" s="0" t="str">
        <f aca="false">HYPERLINK("https://genome.ucsc.edu/cgi-bin/hgTracks?db=hg19&amp;position=chr8%3A55671693%2D55671698", "chr8:55671693")</f>
        <v>chr8:55671693</v>
      </c>
      <c r="C323" s="0" t="s">
        <v>535</v>
      </c>
      <c r="D323" s="0" t="n">
        <v>55671693</v>
      </c>
      <c r="E323" s="0" t="n">
        <v>55671698</v>
      </c>
      <c r="F323" s="0" t="s">
        <v>1970</v>
      </c>
      <c r="G323" s="0" t="s">
        <v>312</v>
      </c>
      <c r="H323" s="0" t="s">
        <v>1971</v>
      </c>
      <c r="I323" s="0" t="s">
        <v>1174</v>
      </c>
      <c r="J323" s="0" t="s">
        <v>1972</v>
      </c>
      <c r="K323" s="0" t="s">
        <v>46</v>
      </c>
      <c r="L323" s="0" t="s">
        <v>46</v>
      </c>
      <c r="M323" s="0" t="str">
        <f aca="false">HYPERLINK("https://www.genecards.org/Search/Keyword?queryString=%5Baliases%5D(%20RP1%20)&amp;keywords=RP1", "RP1")</f>
        <v>RP1</v>
      </c>
      <c r="N323" s="0" t="s">
        <v>727</v>
      </c>
      <c r="O323" s="0" t="s">
        <v>46</v>
      </c>
      <c r="P323" s="0" t="s">
        <v>1973</v>
      </c>
      <c r="Q323" s="0" t="n">
        <v>-1</v>
      </c>
      <c r="R323" s="0" t="n">
        <v>-1</v>
      </c>
      <c r="S323" s="0" t="n">
        <v>-1</v>
      </c>
      <c r="T323" s="0" t="n">
        <v>-1</v>
      </c>
      <c r="U323" s="0" t="n">
        <v>-1</v>
      </c>
      <c r="V323" s="0" t="s">
        <v>46</v>
      </c>
      <c r="W323" s="0" t="s">
        <v>46</v>
      </c>
      <c r="X323" s="0" t="s">
        <v>46</v>
      </c>
      <c r="Y323" s="0" t="s">
        <v>46</v>
      </c>
      <c r="Z323" s="0" t="s">
        <v>46</v>
      </c>
      <c r="AA323" s="0" t="s">
        <v>46</v>
      </c>
      <c r="AB323" s="0" t="s">
        <v>46</v>
      </c>
      <c r="AC323" s="0" t="s">
        <v>319</v>
      </c>
      <c r="AD323" s="0" t="s">
        <v>870</v>
      </c>
      <c r="AE323" s="0" t="s">
        <v>1963</v>
      </c>
      <c r="AF323" s="0" t="s">
        <v>1964</v>
      </c>
      <c r="AG323" s="0" t="s">
        <v>1965</v>
      </c>
      <c r="AH323" s="0" t="s">
        <v>1966</v>
      </c>
      <c r="AI323" s="0" t="s">
        <v>46</v>
      </c>
      <c r="AJ323" s="0" t="s">
        <v>46</v>
      </c>
      <c r="AK323" s="0" t="s">
        <v>46</v>
      </c>
      <c r="AL323" s="0" t="s">
        <v>46</v>
      </c>
    </row>
    <row r="324" customFormat="false" ht="15" hidden="false" customHeight="false" outlineLevel="0" collapsed="false">
      <c r="B324" s="0" t="str">
        <f aca="false">HYPERLINK("https://genome.ucsc.edu/cgi-bin/hgTracks?db=hg19&amp;position=chr8%3A66517454%2D66517454", "chr8:66517454")</f>
        <v>chr8:66517454</v>
      </c>
      <c r="C324" s="0" t="s">
        <v>535</v>
      </c>
      <c r="D324" s="0" t="n">
        <v>66517454</v>
      </c>
      <c r="E324" s="0" t="n">
        <v>66517454</v>
      </c>
      <c r="F324" s="0" t="s">
        <v>39</v>
      </c>
      <c r="G324" s="0" t="s">
        <v>40</v>
      </c>
      <c r="H324" s="0" t="s">
        <v>1974</v>
      </c>
      <c r="I324" s="0" t="s">
        <v>74</v>
      </c>
      <c r="J324" s="0" t="s">
        <v>1975</v>
      </c>
      <c r="K324" s="0" t="s">
        <v>46</v>
      </c>
      <c r="L324" s="0" t="str">
        <f aca="false">HYPERLINK("https://www.ncbi.nlm.nih.gov/snp/rs16932261", "rs16932261")</f>
        <v>rs16932261</v>
      </c>
      <c r="M324" s="0" t="str">
        <f aca="false">HYPERLINK("https://www.genecards.org/Search/Keyword?queryString=%5Baliases%5D(%20ARMC1%20)&amp;keywords=ARMC1", "ARMC1")</f>
        <v>ARMC1</v>
      </c>
      <c r="N324" s="0" t="s">
        <v>63</v>
      </c>
      <c r="O324" s="0" t="s">
        <v>46</v>
      </c>
      <c r="P324" s="0" t="s">
        <v>46</v>
      </c>
      <c r="Q324" s="0" t="n">
        <v>0.0288</v>
      </c>
      <c r="R324" s="0" t="n">
        <v>0.0283</v>
      </c>
      <c r="S324" s="0" t="n">
        <v>0.0254</v>
      </c>
      <c r="T324" s="0" t="n">
        <v>-1</v>
      </c>
      <c r="U324" s="0" t="n">
        <v>0.0237</v>
      </c>
      <c r="V324" s="0" t="s">
        <v>46</v>
      </c>
      <c r="W324" s="0" t="s">
        <v>46</v>
      </c>
      <c r="X324" s="0" t="s">
        <v>49</v>
      </c>
      <c r="Y324" s="0" t="s">
        <v>64</v>
      </c>
      <c r="Z324" s="0" t="s">
        <v>46</v>
      </c>
      <c r="AA324" s="0" t="s">
        <v>46</v>
      </c>
      <c r="AB324" s="0" t="s">
        <v>46</v>
      </c>
      <c r="AC324" s="0" t="s">
        <v>52</v>
      </c>
      <c r="AD324" s="0" t="s">
        <v>53</v>
      </c>
      <c r="AE324" s="0" t="s">
        <v>1976</v>
      </c>
      <c r="AF324" s="0" t="s">
        <v>1977</v>
      </c>
      <c r="AG324" s="0" t="s">
        <v>46</v>
      </c>
      <c r="AH324" s="0" t="s">
        <v>46</v>
      </c>
      <c r="AI324" s="0" t="s">
        <v>46</v>
      </c>
      <c r="AJ324" s="0" t="s">
        <v>46</v>
      </c>
      <c r="AK324" s="0" t="s">
        <v>46</v>
      </c>
      <c r="AL324" s="0" t="s">
        <v>46</v>
      </c>
    </row>
    <row r="325" customFormat="false" ht="15" hidden="false" customHeight="false" outlineLevel="0" collapsed="false">
      <c r="B325" s="0" t="str">
        <f aca="false">HYPERLINK("https://genome.ucsc.edu/cgi-bin/hgTracks?db=hg19&amp;position=chr8%3A87460862%2D87460862", "chr8:87460862")</f>
        <v>chr8:87460862</v>
      </c>
      <c r="C325" s="0" t="s">
        <v>535</v>
      </c>
      <c r="D325" s="0" t="n">
        <v>87460862</v>
      </c>
      <c r="E325" s="0" t="n">
        <v>87460862</v>
      </c>
      <c r="F325" s="0" t="s">
        <v>72</v>
      </c>
      <c r="G325" s="0" t="s">
        <v>58</v>
      </c>
      <c r="H325" s="0" t="s">
        <v>1978</v>
      </c>
      <c r="I325" s="0" t="s">
        <v>637</v>
      </c>
      <c r="J325" s="0" t="s">
        <v>1428</v>
      </c>
      <c r="K325" s="0" t="s">
        <v>46</v>
      </c>
      <c r="L325" s="0" t="str">
        <f aca="false">HYPERLINK("https://www.ncbi.nlm.nih.gov/snp/rs193127753", "rs193127753")</f>
        <v>rs193127753</v>
      </c>
      <c r="M325" s="0" t="str">
        <f aca="false">HYPERLINK("https://www.genecards.org/Search/Keyword?queryString=%5Baliases%5D(%20WWP1%20)&amp;keywords=WWP1", "WWP1")</f>
        <v>WWP1</v>
      </c>
      <c r="N325" s="0" t="s">
        <v>63</v>
      </c>
      <c r="O325" s="0" t="s">
        <v>46</v>
      </c>
      <c r="P325" s="0" t="s">
        <v>46</v>
      </c>
      <c r="Q325" s="0" t="n">
        <v>0.004</v>
      </c>
      <c r="R325" s="0" t="n">
        <v>0.0024</v>
      </c>
      <c r="S325" s="0" t="n">
        <v>0.0028</v>
      </c>
      <c r="T325" s="0" t="n">
        <v>-1</v>
      </c>
      <c r="U325" s="0" t="n">
        <v>0.002</v>
      </c>
      <c r="V325" s="0" t="s">
        <v>46</v>
      </c>
      <c r="W325" s="0" t="s">
        <v>46</v>
      </c>
      <c r="X325" s="0" t="s">
        <v>49</v>
      </c>
      <c r="Y325" s="0" t="s">
        <v>64</v>
      </c>
      <c r="Z325" s="0" t="s">
        <v>46</v>
      </c>
      <c r="AA325" s="0" t="s">
        <v>46</v>
      </c>
      <c r="AB325" s="0" t="s">
        <v>46</v>
      </c>
      <c r="AC325" s="0" t="s">
        <v>52</v>
      </c>
      <c r="AD325" s="0" t="s">
        <v>53</v>
      </c>
      <c r="AE325" s="0" t="s">
        <v>1979</v>
      </c>
      <c r="AF325" s="0" t="s">
        <v>1980</v>
      </c>
      <c r="AG325" s="0" t="s">
        <v>1981</v>
      </c>
      <c r="AH325" s="0" t="s">
        <v>46</v>
      </c>
      <c r="AI325" s="0" t="s">
        <v>46</v>
      </c>
      <c r="AJ325" s="0" t="s">
        <v>46</v>
      </c>
      <c r="AK325" s="0" t="s">
        <v>46</v>
      </c>
      <c r="AL325" s="0" t="s">
        <v>46</v>
      </c>
    </row>
    <row r="326" customFormat="false" ht="15" hidden="false" customHeight="false" outlineLevel="0" collapsed="false">
      <c r="B326" s="0" t="str">
        <f aca="false">HYPERLINK("https://genome.ucsc.edu/cgi-bin/hgTracks?db=hg19&amp;position=chr8%3A102541661%2D102541661", "chr8:102541661")</f>
        <v>chr8:102541661</v>
      </c>
      <c r="C326" s="0" t="s">
        <v>535</v>
      </c>
      <c r="D326" s="0" t="n">
        <v>102541661</v>
      </c>
      <c r="E326" s="0" t="n">
        <v>102541661</v>
      </c>
      <c r="F326" s="0" t="s">
        <v>72</v>
      </c>
      <c r="G326" s="0" t="s">
        <v>312</v>
      </c>
      <c r="H326" s="0" t="s">
        <v>1982</v>
      </c>
      <c r="I326" s="0" t="s">
        <v>493</v>
      </c>
      <c r="J326" s="0" t="s">
        <v>1983</v>
      </c>
      <c r="K326" s="0" t="s">
        <v>46</v>
      </c>
      <c r="L326" s="0" t="s">
        <v>46</v>
      </c>
      <c r="M326" s="0" t="str">
        <f aca="false">HYPERLINK("https://www.genecards.org/Search/Keyword?queryString=%5Baliases%5D(%20GRHL2%20)&amp;keywords=GRHL2", "GRHL2")</f>
        <v>GRHL2</v>
      </c>
      <c r="N326" s="0" t="s">
        <v>366</v>
      </c>
      <c r="O326" s="0" t="s">
        <v>46</v>
      </c>
      <c r="P326" s="0" t="s">
        <v>46</v>
      </c>
      <c r="Q326" s="0" t="n">
        <v>0.0175</v>
      </c>
      <c r="R326" s="0" t="n">
        <v>0.0022</v>
      </c>
      <c r="S326" s="0" t="n">
        <v>0.0008</v>
      </c>
      <c r="T326" s="0" t="n">
        <v>-1</v>
      </c>
      <c r="U326" s="0" t="n">
        <v>0.0024</v>
      </c>
      <c r="V326" s="0" t="s">
        <v>46</v>
      </c>
      <c r="W326" s="0" t="s">
        <v>46</v>
      </c>
      <c r="X326" s="0" t="s">
        <v>46</v>
      </c>
      <c r="Y326" s="0" t="s">
        <v>46</v>
      </c>
      <c r="Z326" s="0" t="s">
        <v>46</v>
      </c>
      <c r="AA326" s="0" t="s">
        <v>46</v>
      </c>
      <c r="AB326" s="0" t="s">
        <v>46</v>
      </c>
      <c r="AC326" s="0" t="s">
        <v>319</v>
      </c>
      <c r="AD326" s="0" t="s">
        <v>94</v>
      </c>
      <c r="AE326" s="0" t="s">
        <v>1984</v>
      </c>
      <c r="AF326" s="0" t="s">
        <v>1985</v>
      </c>
      <c r="AG326" s="0" t="s">
        <v>1986</v>
      </c>
      <c r="AH326" s="0" t="s">
        <v>1987</v>
      </c>
      <c r="AI326" s="0" t="s">
        <v>46</v>
      </c>
      <c r="AJ326" s="0" t="s">
        <v>46</v>
      </c>
      <c r="AK326" s="0" t="s">
        <v>46</v>
      </c>
      <c r="AL326" s="0" t="s">
        <v>46</v>
      </c>
    </row>
    <row r="327" customFormat="false" ht="15" hidden="false" customHeight="false" outlineLevel="0" collapsed="false">
      <c r="B327" s="0" t="str">
        <f aca="false">HYPERLINK("https://genome.ucsc.edu/cgi-bin/hgTracks?db=hg19&amp;position=chr8%3A102541661%2D102541661", "chr8:102541661")</f>
        <v>chr8:102541661</v>
      </c>
      <c r="C327" s="0" t="s">
        <v>535</v>
      </c>
      <c r="D327" s="0" t="n">
        <v>102541661</v>
      </c>
      <c r="E327" s="0" t="n">
        <v>102541661</v>
      </c>
      <c r="F327" s="0" t="s">
        <v>312</v>
      </c>
      <c r="G327" s="0" t="s">
        <v>72</v>
      </c>
      <c r="H327" s="0" t="s">
        <v>1982</v>
      </c>
      <c r="I327" s="0" t="s">
        <v>493</v>
      </c>
      <c r="J327" s="0" t="s">
        <v>1983</v>
      </c>
      <c r="K327" s="0" t="s">
        <v>46</v>
      </c>
      <c r="L327" s="0" t="s">
        <v>46</v>
      </c>
      <c r="M327" s="0" t="str">
        <f aca="false">HYPERLINK("https://www.genecards.org/Search/Keyword?queryString=%5Baliases%5D(%20GRHL2%20)&amp;keywords=GRHL2", "GRHL2")</f>
        <v>GRHL2</v>
      </c>
      <c r="N327" s="0" t="s">
        <v>366</v>
      </c>
      <c r="O327" s="0" t="s">
        <v>46</v>
      </c>
      <c r="P327" s="0" t="s">
        <v>46</v>
      </c>
      <c r="Q327" s="0" t="n">
        <v>-1</v>
      </c>
      <c r="R327" s="0" t="n">
        <v>-1</v>
      </c>
      <c r="S327" s="0" t="n">
        <v>-1</v>
      </c>
      <c r="T327" s="0" t="n">
        <v>-1</v>
      </c>
      <c r="U327" s="0" t="n">
        <v>-1</v>
      </c>
      <c r="V327" s="0" t="s">
        <v>46</v>
      </c>
      <c r="W327" s="0" t="s">
        <v>46</v>
      </c>
      <c r="X327" s="0" t="s">
        <v>46</v>
      </c>
      <c r="Y327" s="0" t="s">
        <v>46</v>
      </c>
      <c r="Z327" s="0" t="s">
        <v>46</v>
      </c>
      <c r="AA327" s="0" t="s">
        <v>46</v>
      </c>
      <c r="AB327" s="0" t="s">
        <v>46</v>
      </c>
      <c r="AC327" s="0" t="s">
        <v>319</v>
      </c>
      <c r="AD327" s="0" t="s">
        <v>94</v>
      </c>
      <c r="AE327" s="0" t="s">
        <v>1984</v>
      </c>
      <c r="AF327" s="0" t="s">
        <v>1985</v>
      </c>
      <c r="AG327" s="0" t="s">
        <v>1986</v>
      </c>
      <c r="AH327" s="0" t="s">
        <v>1987</v>
      </c>
      <c r="AI327" s="0" t="s">
        <v>46</v>
      </c>
      <c r="AJ327" s="0" t="s">
        <v>46</v>
      </c>
      <c r="AK327" s="0" t="s">
        <v>46</v>
      </c>
      <c r="AL327" s="0" t="s">
        <v>46</v>
      </c>
    </row>
    <row r="328" customFormat="false" ht="15" hidden="false" customHeight="false" outlineLevel="0" collapsed="false">
      <c r="B328" s="0" t="str">
        <f aca="false">HYPERLINK("https://genome.ucsc.edu/cgi-bin/hgTracks?db=hg19&amp;position=chr8%3A142487689%2D142487689", "chr8:142487689")</f>
        <v>chr8:142487689</v>
      </c>
      <c r="C328" s="0" t="s">
        <v>535</v>
      </c>
      <c r="D328" s="0" t="n">
        <v>142487689</v>
      </c>
      <c r="E328" s="0" t="n">
        <v>142487689</v>
      </c>
      <c r="F328" s="0" t="s">
        <v>40</v>
      </c>
      <c r="G328" s="0" t="s">
        <v>39</v>
      </c>
      <c r="H328" s="0" t="s">
        <v>1761</v>
      </c>
      <c r="I328" s="0" t="s">
        <v>621</v>
      </c>
      <c r="J328" s="0" t="s">
        <v>1988</v>
      </c>
      <c r="K328" s="0" t="s">
        <v>46</v>
      </c>
      <c r="L328" s="0" t="str">
        <f aca="false">HYPERLINK("https://www.ncbi.nlm.nih.gov/snp/rs980530907", "rs980530907")</f>
        <v>rs980530907</v>
      </c>
      <c r="M328" s="0" t="str">
        <f aca="false">HYPERLINK("https://www.genecards.org/Search/Keyword?queryString=%5Baliases%5D(%20MROH5%20)&amp;keywords=MROH5", "MROH5")</f>
        <v>MROH5</v>
      </c>
      <c r="N328" s="0" t="s">
        <v>63</v>
      </c>
      <c r="O328" s="0" t="s">
        <v>46</v>
      </c>
      <c r="P328" s="0" t="s">
        <v>46</v>
      </c>
      <c r="Q328" s="0" t="n">
        <v>0.0001</v>
      </c>
      <c r="R328" s="0" t="n">
        <v>0.0001</v>
      </c>
      <c r="S328" s="0" t="n">
        <v>0.0003</v>
      </c>
      <c r="T328" s="0" t="n">
        <v>-1</v>
      </c>
      <c r="U328" s="0" t="n">
        <v>-1</v>
      </c>
      <c r="V328" s="0" t="s">
        <v>46</v>
      </c>
      <c r="W328" s="0" t="s">
        <v>46</v>
      </c>
      <c r="X328" s="0" t="s">
        <v>49</v>
      </c>
      <c r="Y328" s="0" t="s">
        <v>64</v>
      </c>
      <c r="Z328" s="0" t="s">
        <v>46</v>
      </c>
      <c r="AA328" s="0" t="s">
        <v>46</v>
      </c>
      <c r="AB328" s="0" t="s">
        <v>46</v>
      </c>
      <c r="AC328" s="0" t="s">
        <v>52</v>
      </c>
      <c r="AD328" s="0" t="s">
        <v>53</v>
      </c>
      <c r="AE328" s="0" t="s">
        <v>46</v>
      </c>
      <c r="AF328" s="0" t="s">
        <v>1989</v>
      </c>
      <c r="AG328" s="0" t="s">
        <v>46</v>
      </c>
      <c r="AH328" s="0" t="s">
        <v>46</v>
      </c>
      <c r="AI328" s="0" t="s">
        <v>46</v>
      </c>
      <c r="AJ328" s="0" t="s">
        <v>46</v>
      </c>
      <c r="AK328" s="0" t="s">
        <v>46</v>
      </c>
      <c r="AL328" s="0" t="s">
        <v>46</v>
      </c>
    </row>
    <row r="329" customFormat="false" ht="15" hidden="false" customHeight="false" outlineLevel="0" collapsed="false">
      <c r="B329" s="0" t="str">
        <f aca="false">HYPERLINK("https://genome.ucsc.edu/cgi-bin/hgTracks?db=hg19&amp;position=chr8%3A144618274%2D144618274", "chr8:144618274")</f>
        <v>chr8:144618274</v>
      </c>
      <c r="C329" s="0" t="s">
        <v>535</v>
      </c>
      <c r="D329" s="0" t="n">
        <v>144618274</v>
      </c>
      <c r="E329" s="0" t="n">
        <v>144618274</v>
      </c>
      <c r="F329" s="0" t="s">
        <v>58</v>
      </c>
      <c r="G329" s="0" t="s">
        <v>72</v>
      </c>
      <c r="H329" s="0" t="s">
        <v>1990</v>
      </c>
      <c r="I329" s="0" t="s">
        <v>666</v>
      </c>
      <c r="J329" s="0" t="s">
        <v>1991</v>
      </c>
      <c r="K329" s="0" t="s">
        <v>46</v>
      </c>
      <c r="L329" s="0" t="s">
        <v>46</v>
      </c>
      <c r="M329" s="0" t="str">
        <f aca="false">HYPERLINK("https://www.genecards.org/Search/Keyword?queryString=%5Baliases%5D(%20ZC3H3%20)&amp;keywords=ZC3H3", "ZC3H3")</f>
        <v>ZC3H3</v>
      </c>
      <c r="N329" s="0" t="s">
        <v>63</v>
      </c>
      <c r="O329" s="0" t="s">
        <v>46</v>
      </c>
      <c r="P329" s="0" t="s">
        <v>46</v>
      </c>
      <c r="Q329" s="0" t="n">
        <v>-1</v>
      </c>
      <c r="R329" s="0" t="n">
        <v>-1</v>
      </c>
      <c r="S329" s="0" t="n">
        <v>-1</v>
      </c>
      <c r="T329" s="0" t="n">
        <v>-1</v>
      </c>
      <c r="U329" s="0" t="n">
        <v>-1</v>
      </c>
      <c r="V329" s="0" t="s">
        <v>46</v>
      </c>
      <c r="W329" s="0" t="s">
        <v>46</v>
      </c>
      <c r="X329" s="0" t="s">
        <v>49</v>
      </c>
      <c r="Y329" s="0" t="s">
        <v>64</v>
      </c>
      <c r="Z329" s="0" t="s">
        <v>46</v>
      </c>
      <c r="AA329" s="0" t="s">
        <v>46</v>
      </c>
      <c r="AB329" s="0" t="s">
        <v>46</v>
      </c>
      <c r="AC329" s="0" t="s">
        <v>52</v>
      </c>
      <c r="AD329" s="0" t="s">
        <v>53</v>
      </c>
      <c r="AE329" s="0" t="s">
        <v>1992</v>
      </c>
      <c r="AF329" s="0" t="s">
        <v>1993</v>
      </c>
      <c r="AG329" s="0" t="s">
        <v>1994</v>
      </c>
      <c r="AH329" s="0" t="s">
        <v>46</v>
      </c>
      <c r="AI329" s="0" t="s">
        <v>46</v>
      </c>
      <c r="AJ329" s="0" t="s">
        <v>46</v>
      </c>
      <c r="AK329" s="0" t="s">
        <v>46</v>
      </c>
      <c r="AL329" s="0" t="s">
        <v>46</v>
      </c>
    </row>
    <row r="330" customFormat="false" ht="15" hidden="false" customHeight="false" outlineLevel="0" collapsed="false">
      <c r="B330" s="0" t="str">
        <f aca="false">HYPERLINK("https://genome.ucsc.edu/cgi-bin/hgTracks?db=hg19&amp;position=chr8%3A145738583%2D145738583", "chr8:145738583")</f>
        <v>chr8:145738583</v>
      </c>
      <c r="C330" s="0" t="s">
        <v>535</v>
      </c>
      <c r="D330" s="0" t="n">
        <v>145738583</v>
      </c>
      <c r="E330" s="0" t="n">
        <v>145738583</v>
      </c>
      <c r="F330" s="0" t="s">
        <v>58</v>
      </c>
      <c r="G330" s="0" t="s">
        <v>312</v>
      </c>
      <c r="H330" s="0" t="s">
        <v>1995</v>
      </c>
      <c r="I330" s="0" t="s">
        <v>594</v>
      </c>
      <c r="J330" s="0" t="s">
        <v>1996</v>
      </c>
      <c r="K330" s="0" t="s">
        <v>46</v>
      </c>
      <c r="L330" s="0" t="s">
        <v>46</v>
      </c>
      <c r="M330" s="0" t="str">
        <f aca="false">HYPERLINK("https://www.genecards.org/Search/Keyword?queryString=%5Baliases%5D(%20RECQL4%20)&amp;keywords=RECQL4", "RECQL4")</f>
        <v>RECQL4</v>
      </c>
      <c r="N330" s="0" t="s">
        <v>366</v>
      </c>
      <c r="O330" s="0" t="s">
        <v>46</v>
      </c>
      <c r="P330" s="0" t="s">
        <v>46</v>
      </c>
      <c r="Q330" s="0" t="n">
        <v>-1</v>
      </c>
      <c r="R330" s="0" t="n">
        <v>-1</v>
      </c>
      <c r="S330" s="0" t="n">
        <v>-1</v>
      </c>
      <c r="T330" s="0" t="n">
        <v>-1</v>
      </c>
      <c r="U330" s="0" t="n">
        <v>-1</v>
      </c>
      <c r="V330" s="0" t="s">
        <v>46</v>
      </c>
      <c r="W330" s="0" t="s">
        <v>46</v>
      </c>
      <c r="X330" s="0" t="s">
        <v>46</v>
      </c>
      <c r="Y330" s="0" t="s">
        <v>46</v>
      </c>
      <c r="Z330" s="0" t="s">
        <v>46</v>
      </c>
      <c r="AA330" s="0" t="s">
        <v>46</v>
      </c>
      <c r="AB330" s="0" t="s">
        <v>46</v>
      </c>
      <c r="AC330" s="0" t="s">
        <v>319</v>
      </c>
      <c r="AD330" s="0" t="s">
        <v>53</v>
      </c>
      <c r="AE330" s="0" t="s">
        <v>46</v>
      </c>
      <c r="AF330" s="0" t="s">
        <v>1997</v>
      </c>
      <c r="AG330" s="0" t="s">
        <v>1998</v>
      </c>
      <c r="AH330" s="0" t="s">
        <v>1999</v>
      </c>
      <c r="AI330" s="0" t="s">
        <v>46</v>
      </c>
      <c r="AJ330" s="0" t="s">
        <v>46</v>
      </c>
      <c r="AK330" s="0" t="s">
        <v>46</v>
      </c>
      <c r="AL330" s="0" t="s">
        <v>46</v>
      </c>
    </row>
    <row r="331" customFormat="false" ht="15" hidden="false" customHeight="false" outlineLevel="0" collapsed="false">
      <c r="B331" s="0" t="str">
        <f aca="false">HYPERLINK("https://genome.ucsc.edu/cgi-bin/hgTracks?db=hg19&amp;position=chr9%3A163872%2D163872", "chr9:163872")</f>
        <v>chr9:163872</v>
      </c>
      <c r="C331" s="0" t="s">
        <v>275</v>
      </c>
      <c r="D331" s="0" t="n">
        <v>163872</v>
      </c>
      <c r="E331" s="0" t="n">
        <v>163872</v>
      </c>
      <c r="F331" s="0" t="s">
        <v>72</v>
      </c>
      <c r="G331" s="0" t="s">
        <v>39</v>
      </c>
      <c r="H331" s="0" t="s">
        <v>2000</v>
      </c>
      <c r="I331" s="0" t="s">
        <v>2001</v>
      </c>
      <c r="J331" s="0" t="s">
        <v>2002</v>
      </c>
      <c r="K331" s="0" t="s">
        <v>46</v>
      </c>
      <c r="L331" s="0" t="str">
        <f aca="false">HYPERLINK("https://www.ncbi.nlm.nih.gov/snp/rs2785377", "rs2785377")</f>
        <v>rs2785377</v>
      </c>
      <c r="M331" s="0" t="str">
        <f aca="false">HYPERLINK("https://www.genecards.org/Search/Keyword?queryString=%5Baliases%5D(%20CBWD1%20)&amp;keywords=CBWD1", "CBWD1")</f>
        <v>CBWD1</v>
      </c>
      <c r="N331" s="0" t="s">
        <v>63</v>
      </c>
      <c r="O331" s="0" t="s">
        <v>46</v>
      </c>
      <c r="P331" s="0" t="s">
        <v>46</v>
      </c>
      <c r="Q331" s="0" t="n">
        <v>0.027586</v>
      </c>
      <c r="R331" s="0" t="n">
        <v>-1</v>
      </c>
      <c r="S331" s="0" t="n">
        <v>-1</v>
      </c>
      <c r="T331" s="0" t="n">
        <v>-1</v>
      </c>
      <c r="U331" s="0" t="n">
        <v>-1</v>
      </c>
      <c r="V331" s="0" t="s">
        <v>46</v>
      </c>
      <c r="W331" s="0" t="s">
        <v>46</v>
      </c>
      <c r="X331" s="0" t="s">
        <v>385</v>
      </c>
      <c r="Y331" s="0" t="s">
        <v>64</v>
      </c>
      <c r="Z331" s="0" t="s">
        <v>46</v>
      </c>
      <c r="AA331" s="0" t="s">
        <v>46</v>
      </c>
      <c r="AB331" s="0" t="s">
        <v>46</v>
      </c>
      <c r="AC331" s="0" t="s">
        <v>52</v>
      </c>
      <c r="AD331" s="0" t="s">
        <v>53</v>
      </c>
      <c r="AE331" s="0" t="s">
        <v>2003</v>
      </c>
      <c r="AF331" s="0" t="s">
        <v>2004</v>
      </c>
      <c r="AG331" s="0" t="s">
        <v>46</v>
      </c>
      <c r="AH331" s="0" t="s">
        <v>46</v>
      </c>
      <c r="AI331" s="0" t="s">
        <v>46</v>
      </c>
      <c r="AJ331" s="0" t="s">
        <v>46</v>
      </c>
      <c r="AK331" s="0" t="s">
        <v>46</v>
      </c>
      <c r="AL331" s="0" t="s">
        <v>46</v>
      </c>
    </row>
    <row r="332" customFormat="false" ht="15" hidden="false" customHeight="false" outlineLevel="0" collapsed="false">
      <c r="B332" s="0" t="str">
        <f aca="false">HYPERLINK("https://genome.ucsc.edu/cgi-bin/hgTracks?db=hg19&amp;position=chr9%3A3288401%2D3288401", "chr9:3288401")</f>
        <v>chr9:3288401</v>
      </c>
      <c r="C332" s="0" t="s">
        <v>275</v>
      </c>
      <c r="D332" s="0" t="n">
        <v>3288401</v>
      </c>
      <c r="E332" s="0" t="n">
        <v>3288401</v>
      </c>
      <c r="F332" s="0" t="s">
        <v>39</v>
      </c>
      <c r="G332" s="0" t="s">
        <v>40</v>
      </c>
      <c r="H332" s="0" t="s">
        <v>2005</v>
      </c>
      <c r="I332" s="0" t="s">
        <v>493</v>
      </c>
      <c r="J332" s="0" t="s">
        <v>1439</v>
      </c>
      <c r="K332" s="0" t="s">
        <v>46</v>
      </c>
      <c r="L332" s="0" t="str">
        <f aca="false">HYPERLINK("https://www.ncbi.nlm.nih.gov/snp/rs149643552", "rs149643552")</f>
        <v>rs149643552</v>
      </c>
      <c r="M332" s="0" t="str">
        <f aca="false">HYPERLINK("https://www.genecards.org/Search/Keyword?queryString=%5Baliases%5D(%20RFX3%20)&amp;keywords=RFX3", "RFX3")</f>
        <v>RFX3</v>
      </c>
      <c r="N332" s="0" t="s">
        <v>63</v>
      </c>
      <c r="O332" s="0" t="s">
        <v>46</v>
      </c>
      <c r="P332" s="0" t="s">
        <v>46</v>
      </c>
      <c r="Q332" s="0" t="n">
        <v>0.002</v>
      </c>
      <c r="R332" s="0" t="n">
        <v>0.0013</v>
      </c>
      <c r="S332" s="0" t="n">
        <v>0.0013</v>
      </c>
      <c r="T332" s="0" t="n">
        <v>-1</v>
      </c>
      <c r="U332" s="0" t="n">
        <v>0.0022</v>
      </c>
      <c r="V332" s="0" t="s">
        <v>46</v>
      </c>
      <c r="W332" s="0" t="s">
        <v>46</v>
      </c>
      <c r="X332" s="0" t="s">
        <v>49</v>
      </c>
      <c r="Y332" s="0" t="s">
        <v>64</v>
      </c>
      <c r="Z332" s="0" t="s">
        <v>46</v>
      </c>
      <c r="AA332" s="0" t="s">
        <v>46</v>
      </c>
      <c r="AB332" s="0" t="s">
        <v>46</v>
      </c>
      <c r="AC332" s="0" t="s">
        <v>52</v>
      </c>
      <c r="AD332" s="0" t="s">
        <v>53</v>
      </c>
      <c r="AE332" s="0" t="s">
        <v>2006</v>
      </c>
      <c r="AF332" s="0" t="s">
        <v>2007</v>
      </c>
      <c r="AG332" s="0" t="s">
        <v>2008</v>
      </c>
      <c r="AH332" s="0" t="s">
        <v>46</v>
      </c>
      <c r="AI332" s="0" t="s">
        <v>46</v>
      </c>
      <c r="AJ332" s="0" t="s">
        <v>46</v>
      </c>
      <c r="AK332" s="0" t="s">
        <v>46</v>
      </c>
      <c r="AL332" s="0" t="s">
        <v>46</v>
      </c>
    </row>
    <row r="333" customFormat="false" ht="15" hidden="false" customHeight="false" outlineLevel="0" collapsed="false">
      <c r="B333" s="0" t="str">
        <f aca="false">HYPERLINK("https://genome.ucsc.edu/cgi-bin/hgTracks?db=hg19&amp;position=chr9%3A21861902%2D21861902", "chr9:21861902")</f>
        <v>chr9:21861902</v>
      </c>
      <c r="C333" s="0" t="s">
        <v>275</v>
      </c>
      <c r="D333" s="0" t="n">
        <v>21861902</v>
      </c>
      <c r="E333" s="0" t="n">
        <v>21861902</v>
      </c>
      <c r="F333" s="0" t="s">
        <v>312</v>
      </c>
      <c r="G333" s="0" t="s">
        <v>39</v>
      </c>
      <c r="H333" s="0" t="s">
        <v>2009</v>
      </c>
      <c r="I333" s="0" t="s">
        <v>225</v>
      </c>
      <c r="J333" s="0" t="s">
        <v>2010</v>
      </c>
      <c r="K333" s="0" t="s">
        <v>46</v>
      </c>
      <c r="L333" s="0" t="str">
        <f aca="false">HYPERLINK("https://www.ncbi.nlm.nih.gov/snp/rs772942966", "rs772942966")</f>
        <v>rs772942966</v>
      </c>
      <c r="M333" s="0" t="str">
        <f aca="false">HYPERLINK("https://www.genecards.org/Search/Keyword?queryString=%5Baliases%5D(%20MTAP%20)&amp;keywords=MTAP", "MTAP")</f>
        <v>MTAP</v>
      </c>
      <c r="N333" s="0" t="s">
        <v>609</v>
      </c>
      <c r="O333" s="0" t="s">
        <v>46</v>
      </c>
      <c r="P333" s="0" t="s">
        <v>46</v>
      </c>
      <c r="Q333" s="0" t="n">
        <v>0.01</v>
      </c>
      <c r="R333" s="0" t="n">
        <v>0.0032</v>
      </c>
      <c r="S333" s="0" t="n">
        <v>0.0009</v>
      </c>
      <c r="T333" s="0" t="n">
        <v>-1</v>
      </c>
      <c r="U333" s="0" t="n">
        <v>0.0013</v>
      </c>
      <c r="V333" s="0" t="s">
        <v>46</v>
      </c>
      <c r="W333" s="0" t="s">
        <v>46</v>
      </c>
      <c r="X333" s="0" t="s">
        <v>46</v>
      </c>
      <c r="Y333" s="0" t="s">
        <v>46</v>
      </c>
      <c r="Z333" s="0" t="s">
        <v>46</v>
      </c>
      <c r="AA333" s="0" t="s">
        <v>46</v>
      </c>
      <c r="AB333" s="0" t="s">
        <v>46</v>
      </c>
      <c r="AC333" s="0" t="s">
        <v>52</v>
      </c>
      <c r="AD333" s="0" t="s">
        <v>53</v>
      </c>
      <c r="AE333" s="0" t="s">
        <v>2011</v>
      </c>
      <c r="AF333" s="0" t="s">
        <v>2012</v>
      </c>
      <c r="AG333" s="0" t="s">
        <v>2013</v>
      </c>
      <c r="AH333" s="0" t="s">
        <v>2014</v>
      </c>
      <c r="AI333" s="0" t="s">
        <v>46</v>
      </c>
      <c r="AJ333" s="0" t="s">
        <v>46</v>
      </c>
      <c r="AK333" s="0" t="s">
        <v>46</v>
      </c>
      <c r="AL333" s="0" t="s">
        <v>46</v>
      </c>
    </row>
    <row r="334" customFormat="false" ht="15" hidden="false" customHeight="false" outlineLevel="0" collapsed="false">
      <c r="B334" s="0" t="str">
        <f aca="false">HYPERLINK("https://genome.ucsc.edu/cgi-bin/hgTracks?db=hg19&amp;position=chr9%3A98011785%2D98011785", "chr9:98011785")</f>
        <v>chr9:98011785</v>
      </c>
      <c r="C334" s="0" t="s">
        <v>275</v>
      </c>
      <c r="D334" s="0" t="n">
        <v>98011785</v>
      </c>
      <c r="E334" s="0" t="n">
        <v>98011785</v>
      </c>
      <c r="F334" s="0" t="s">
        <v>39</v>
      </c>
      <c r="G334" s="0" t="s">
        <v>40</v>
      </c>
      <c r="H334" s="0" t="s">
        <v>2015</v>
      </c>
      <c r="I334" s="0" t="s">
        <v>599</v>
      </c>
      <c r="J334" s="0" t="s">
        <v>2016</v>
      </c>
      <c r="K334" s="0" t="s">
        <v>46</v>
      </c>
      <c r="L334" s="0" t="s">
        <v>46</v>
      </c>
      <c r="M334" s="0" t="str">
        <f aca="false">HYPERLINK("https://www.genecards.org/Search/Keyword?queryString=%5Baliases%5D(%20FANCC%20)&amp;keywords=FANCC", "FANCC")</f>
        <v>FANCC</v>
      </c>
      <c r="N334" s="0" t="s">
        <v>63</v>
      </c>
      <c r="O334" s="0" t="s">
        <v>46</v>
      </c>
      <c r="P334" s="0" t="s">
        <v>46</v>
      </c>
      <c r="Q334" s="0" t="n">
        <v>-1</v>
      </c>
      <c r="R334" s="0" t="n">
        <v>-1</v>
      </c>
      <c r="S334" s="0" t="n">
        <v>-1</v>
      </c>
      <c r="T334" s="0" t="n">
        <v>-1</v>
      </c>
      <c r="U334" s="0" t="n">
        <v>-1</v>
      </c>
      <c r="V334" s="0" t="s">
        <v>46</v>
      </c>
      <c r="W334" s="0" t="s">
        <v>46</v>
      </c>
      <c r="X334" s="0" t="s">
        <v>49</v>
      </c>
      <c r="Y334" s="0" t="s">
        <v>64</v>
      </c>
      <c r="Z334" s="0" t="s">
        <v>46</v>
      </c>
      <c r="AA334" s="0" t="s">
        <v>46</v>
      </c>
      <c r="AB334" s="0" t="s">
        <v>46</v>
      </c>
      <c r="AC334" s="0" t="s">
        <v>52</v>
      </c>
      <c r="AD334" s="0" t="s">
        <v>94</v>
      </c>
      <c r="AE334" s="0" t="s">
        <v>2017</v>
      </c>
      <c r="AF334" s="0" t="s">
        <v>2018</v>
      </c>
      <c r="AG334" s="0" t="s">
        <v>2019</v>
      </c>
      <c r="AH334" s="0" t="s">
        <v>2020</v>
      </c>
      <c r="AI334" s="0" t="s">
        <v>46</v>
      </c>
      <c r="AJ334" s="0" t="s">
        <v>46</v>
      </c>
      <c r="AK334" s="0" t="s">
        <v>46</v>
      </c>
      <c r="AL334" s="0" t="s">
        <v>46</v>
      </c>
    </row>
    <row r="335" customFormat="false" ht="15" hidden="false" customHeight="false" outlineLevel="0" collapsed="false">
      <c r="B335" s="0" t="str">
        <f aca="false">HYPERLINK("https://genome.ucsc.edu/cgi-bin/hgTracks?db=hg19&amp;position=chr9%3A98054817%2D98054817", "chr9:98054817")</f>
        <v>chr9:98054817</v>
      </c>
      <c r="C335" s="0" t="s">
        <v>275</v>
      </c>
      <c r="D335" s="0" t="n">
        <v>98054817</v>
      </c>
      <c r="E335" s="0" t="n">
        <v>98054817</v>
      </c>
      <c r="F335" s="0" t="s">
        <v>58</v>
      </c>
      <c r="G335" s="0" t="s">
        <v>72</v>
      </c>
      <c r="H335" s="0" t="s">
        <v>2021</v>
      </c>
      <c r="I335" s="0" t="s">
        <v>1111</v>
      </c>
      <c r="J335" s="0" t="s">
        <v>2022</v>
      </c>
      <c r="K335" s="0" t="s">
        <v>46</v>
      </c>
      <c r="L335" s="0" t="str">
        <f aca="false">HYPERLINK("https://www.ncbi.nlm.nih.gov/snp/rs546175642", "rs546175642")</f>
        <v>rs546175642</v>
      </c>
      <c r="M335" s="0" t="str">
        <f aca="false">HYPERLINK("https://www.genecards.org/Search/Keyword?queryString=%5Baliases%5D(%20FANCC%20)&amp;keywords=FANCC", "FANCC")</f>
        <v>FANCC</v>
      </c>
      <c r="N335" s="0" t="s">
        <v>609</v>
      </c>
      <c r="O335" s="0" t="s">
        <v>46</v>
      </c>
      <c r="P335" s="0" t="s">
        <v>46</v>
      </c>
      <c r="Q335" s="0" t="n">
        <v>0.0039</v>
      </c>
      <c r="R335" s="0" t="n">
        <v>0.0051</v>
      </c>
      <c r="S335" s="0" t="n">
        <v>0.0043</v>
      </c>
      <c r="T335" s="0" t="n">
        <v>-1</v>
      </c>
      <c r="U335" s="0" t="n">
        <v>0.009</v>
      </c>
      <c r="V335" s="0" t="s">
        <v>46</v>
      </c>
      <c r="W335" s="0" t="s">
        <v>46</v>
      </c>
      <c r="X335" s="0" t="s">
        <v>46</v>
      </c>
      <c r="Y335" s="0" t="s">
        <v>46</v>
      </c>
      <c r="Z335" s="0" t="s">
        <v>46</v>
      </c>
      <c r="AA335" s="0" t="s">
        <v>46</v>
      </c>
      <c r="AB335" s="0" t="s">
        <v>46</v>
      </c>
      <c r="AC335" s="0" t="s">
        <v>52</v>
      </c>
      <c r="AD335" s="0" t="s">
        <v>94</v>
      </c>
      <c r="AE335" s="0" t="s">
        <v>2017</v>
      </c>
      <c r="AF335" s="0" t="s">
        <v>2018</v>
      </c>
      <c r="AG335" s="0" t="s">
        <v>2019</v>
      </c>
      <c r="AH335" s="0" t="s">
        <v>2020</v>
      </c>
      <c r="AI335" s="0" t="s">
        <v>46</v>
      </c>
      <c r="AJ335" s="0" t="s">
        <v>46</v>
      </c>
      <c r="AK335" s="0" t="s">
        <v>46</v>
      </c>
      <c r="AL335" s="0" t="s">
        <v>46</v>
      </c>
    </row>
    <row r="336" customFormat="false" ht="15" hidden="false" customHeight="false" outlineLevel="0" collapsed="false">
      <c r="B336" s="0" t="str">
        <f aca="false">HYPERLINK("https://genome.ucsc.edu/cgi-bin/hgTracks?db=hg19&amp;position=chr9%3A113137745%2D113137745", "chr9:113137745")</f>
        <v>chr9:113137745</v>
      </c>
      <c r="C336" s="0" t="s">
        <v>275</v>
      </c>
      <c r="D336" s="0" t="n">
        <v>113137745</v>
      </c>
      <c r="E336" s="0" t="n">
        <v>113137745</v>
      </c>
      <c r="F336" s="0" t="s">
        <v>312</v>
      </c>
      <c r="G336" s="0" t="s">
        <v>2023</v>
      </c>
      <c r="H336" s="0" t="s">
        <v>2024</v>
      </c>
      <c r="I336" s="0" t="s">
        <v>493</v>
      </c>
      <c r="J336" s="0" t="s">
        <v>2025</v>
      </c>
      <c r="K336" s="0" t="s">
        <v>46</v>
      </c>
      <c r="L336" s="0" t="str">
        <f aca="false">HYPERLINK("https://www.ncbi.nlm.nih.gov/snp/rs754784174", "rs754784174")</f>
        <v>rs754784174</v>
      </c>
      <c r="M336" s="0" t="str">
        <f aca="false">HYPERLINK("https://www.genecards.org/Search/Keyword?queryString=%5Baliases%5D(%20SVEP1%20)&amp;keywords=SVEP1", "SVEP1")</f>
        <v>SVEP1</v>
      </c>
      <c r="N336" s="0" t="s">
        <v>45</v>
      </c>
      <c r="O336" s="0" t="s">
        <v>46</v>
      </c>
      <c r="P336" s="0" t="s">
        <v>2026</v>
      </c>
      <c r="Q336" s="0" t="n">
        <v>9.06E-005</v>
      </c>
      <c r="R336" s="0" t="n">
        <v>-1</v>
      </c>
      <c r="S336" s="0" t="n">
        <v>-1</v>
      </c>
      <c r="T336" s="0" t="n">
        <v>-1</v>
      </c>
      <c r="U336" s="0" t="n">
        <v>-1</v>
      </c>
      <c r="V336" s="0" t="s">
        <v>46</v>
      </c>
      <c r="W336" s="0" t="s">
        <v>46</v>
      </c>
      <c r="X336" s="0" t="s">
        <v>46</v>
      </c>
      <c r="Y336" s="0" t="s">
        <v>46</v>
      </c>
      <c r="Z336" s="0" t="s">
        <v>46</v>
      </c>
      <c r="AA336" s="0" t="s">
        <v>46</v>
      </c>
      <c r="AB336" s="0" t="s">
        <v>46</v>
      </c>
      <c r="AC336" s="0" t="s">
        <v>319</v>
      </c>
      <c r="AD336" s="0" t="s">
        <v>53</v>
      </c>
      <c r="AE336" s="0" t="s">
        <v>2027</v>
      </c>
      <c r="AF336" s="0" t="s">
        <v>2028</v>
      </c>
      <c r="AG336" s="0" t="s">
        <v>2029</v>
      </c>
      <c r="AH336" s="0" t="s">
        <v>46</v>
      </c>
      <c r="AI336" s="0" t="s">
        <v>46</v>
      </c>
      <c r="AJ336" s="0" t="s">
        <v>46</v>
      </c>
      <c r="AK336" s="0" t="s">
        <v>46</v>
      </c>
      <c r="AL336" s="0" t="s">
        <v>46</v>
      </c>
    </row>
    <row r="337" customFormat="false" ht="15" hidden="false" customHeight="false" outlineLevel="0" collapsed="false">
      <c r="B337" s="0" t="str">
        <f aca="false">HYPERLINK("https://genome.ucsc.edu/cgi-bin/hgTracks?db=hg19&amp;position=chr9%3A118982179%2D118982179", "chr9:118982179")</f>
        <v>chr9:118982179</v>
      </c>
      <c r="C337" s="0" t="s">
        <v>275</v>
      </c>
      <c r="D337" s="0" t="n">
        <v>118982179</v>
      </c>
      <c r="E337" s="0" t="n">
        <v>118982179</v>
      </c>
      <c r="F337" s="0" t="s">
        <v>40</v>
      </c>
      <c r="G337" s="0" t="s">
        <v>72</v>
      </c>
      <c r="H337" s="0" t="s">
        <v>2030</v>
      </c>
      <c r="I337" s="0" t="s">
        <v>523</v>
      </c>
      <c r="J337" s="0" t="s">
        <v>2031</v>
      </c>
      <c r="K337" s="0" t="s">
        <v>46</v>
      </c>
      <c r="L337" s="0" t="str">
        <f aca="false">HYPERLINK("https://www.ncbi.nlm.nih.gov/snp/rs568666029", "rs568666029")</f>
        <v>rs568666029</v>
      </c>
      <c r="M337" s="0" t="str">
        <f aca="false">HYPERLINK("https://www.genecards.org/Search/Keyword?queryString=%5Baliases%5D(%20PAPPA%20)&amp;keywords=PAPPA", "PAPPA")</f>
        <v>PAPPA</v>
      </c>
      <c r="N337" s="0" t="s">
        <v>63</v>
      </c>
      <c r="O337" s="0" t="s">
        <v>46</v>
      </c>
      <c r="P337" s="0" t="s">
        <v>46</v>
      </c>
      <c r="Q337" s="0" t="n">
        <v>0.001</v>
      </c>
      <c r="R337" s="0" t="n">
        <v>0.0006</v>
      </c>
      <c r="S337" s="0" t="n">
        <v>0.0004</v>
      </c>
      <c r="T337" s="0" t="n">
        <v>-1</v>
      </c>
      <c r="U337" s="0" t="n">
        <v>0.0011</v>
      </c>
      <c r="V337" s="0" t="s">
        <v>46</v>
      </c>
      <c r="W337" s="0" t="s">
        <v>46</v>
      </c>
      <c r="X337" s="0" t="s">
        <v>49</v>
      </c>
      <c r="Y337" s="0" t="s">
        <v>64</v>
      </c>
      <c r="Z337" s="0" t="s">
        <v>46</v>
      </c>
      <c r="AA337" s="0" t="s">
        <v>46</v>
      </c>
      <c r="AB337" s="0" t="s">
        <v>46</v>
      </c>
      <c r="AC337" s="0" t="s">
        <v>52</v>
      </c>
      <c r="AD337" s="0" t="s">
        <v>53</v>
      </c>
      <c r="AE337" s="0" t="s">
        <v>2032</v>
      </c>
      <c r="AF337" s="0" t="s">
        <v>2033</v>
      </c>
      <c r="AG337" s="0" t="s">
        <v>2034</v>
      </c>
      <c r="AH337" s="0" t="s">
        <v>46</v>
      </c>
      <c r="AI337" s="0" t="s">
        <v>46</v>
      </c>
      <c r="AJ337" s="0" t="s">
        <v>46</v>
      </c>
      <c r="AK337" s="0" t="s">
        <v>46</v>
      </c>
      <c r="AL337" s="0" t="s">
        <v>46</v>
      </c>
    </row>
    <row r="338" customFormat="false" ht="15" hidden="false" customHeight="false" outlineLevel="0" collapsed="false">
      <c r="B338" s="0" t="str">
        <f aca="false">HYPERLINK("https://genome.ucsc.edu/cgi-bin/hgTracks?db=hg19&amp;position=chr9%3A130635742%2D130635742", "chr9:130635742")</f>
        <v>chr9:130635742</v>
      </c>
      <c r="C338" s="0" t="s">
        <v>275</v>
      </c>
      <c r="D338" s="0" t="n">
        <v>130635742</v>
      </c>
      <c r="E338" s="0" t="n">
        <v>130635742</v>
      </c>
      <c r="F338" s="0" t="s">
        <v>58</v>
      </c>
      <c r="G338" s="0" t="s">
        <v>72</v>
      </c>
      <c r="H338" s="0" t="s">
        <v>2035</v>
      </c>
      <c r="I338" s="0" t="s">
        <v>74</v>
      </c>
      <c r="J338" s="0" t="s">
        <v>2036</v>
      </c>
      <c r="K338" s="0" t="s">
        <v>46</v>
      </c>
      <c r="L338" s="0" t="str">
        <f aca="false">HYPERLINK("https://www.ncbi.nlm.nih.gov/snp/rs61743914", "rs61743914")</f>
        <v>rs61743914</v>
      </c>
      <c r="M338" s="0" t="str">
        <f aca="false">HYPERLINK("https://www.genecards.org/Search/Keyword?queryString=%5Baliases%5D(%20AK1%20)&amp;keywords=AK1", "AK1")</f>
        <v>AK1</v>
      </c>
      <c r="N338" s="0" t="s">
        <v>1832</v>
      </c>
      <c r="O338" s="0" t="s">
        <v>46</v>
      </c>
      <c r="P338" s="0" t="s">
        <v>2037</v>
      </c>
      <c r="Q338" s="0" t="n">
        <v>0.0094</v>
      </c>
      <c r="R338" s="0" t="n">
        <v>0.0086</v>
      </c>
      <c r="S338" s="0" t="n">
        <v>0.0072</v>
      </c>
      <c r="T338" s="0" t="n">
        <v>-1</v>
      </c>
      <c r="U338" s="0" t="n">
        <v>0.0122</v>
      </c>
      <c r="V338" s="0" t="s">
        <v>46</v>
      </c>
      <c r="W338" s="0" t="s">
        <v>46</v>
      </c>
      <c r="X338" s="0" t="s">
        <v>46</v>
      </c>
      <c r="Y338" s="0" t="s">
        <v>46</v>
      </c>
      <c r="Z338" s="0" t="s">
        <v>46</v>
      </c>
      <c r="AA338" s="0" t="s">
        <v>46</v>
      </c>
      <c r="AB338" s="0" t="s">
        <v>46</v>
      </c>
      <c r="AC338" s="0" t="s">
        <v>52</v>
      </c>
      <c r="AD338" s="0" t="s">
        <v>53</v>
      </c>
      <c r="AE338" s="0" t="s">
        <v>2038</v>
      </c>
      <c r="AF338" s="0" t="s">
        <v>2039</v>
      </c>
      <c r="AG338" s="0" t="s">
        <v>2040</v>
      </c>
      <c r="AH338" s="0" t="s">
        <v>2041</v>
      </c>
      <c r="AI338" s="0" t="s">
        <v>46</v>
      </c>
      <c r="AJ338" s="0" t="s">
        <v>46</v>
      </c>
      <c r="AK338" s="0" t="s">
        <v>46</v>
      </c>
      <c r="AL338" s="0" t="s">
        <v>46</v>
      </c>
    </row>
    <row r="339" customFormat="false" ht="15" hidden="false" customHeight="false" outlineLevel="0" collapsed="false">
      <c r="B339" s="0" t="str">
        <f aca="false">HYPERLINK("https://genome.ucsc.edu/cgi-bin/hgTracks?db=hg19&amp;position=chr9%3A131314897%2D131314897", "chr9:131314897")</f>
        <v>chr9:131314897</v>
      </c>
      <c r="C339" s="0" t="s">
        <v>275</v>
      </c>
      <c r="D339" s="0" t="n">
        <v>131314897</v>
      </c>
      <c r="E339" s="0" t="n">
        <v>131314897</v>
      </c>
      <c r="F339" s="0" t="s">
        <v>312</v>
      </c>
      <c r="G339" s="0" t="s">
        <v>2042</v>
      </c>
      <c r="H339" s="0" t="s">
        <v>2043</v>
      </c>
      <c r="I339" s="0" t="s">
        <v>586</v>
      </c>
      <c r="J339" s="0" t="s">
        <v>587</v>
      </c>
      <c r="K339" s="0" t="s">
        <v>46</v>
      </c>
      <c r="L339" s="0" t="str">
        <f aca="false">HYPERLINK("https://www.ncbi.nlm.nih.gov/snp/rs777409812", "rs777409812")</f>
        <v>rs777409812</v>
      </c>
      <c r="M339" s="0" t="str">
        <f aca="false">HYPERLINK("https://www.genecards.org/Search/Keyword?queryString=%5Baliases%5D(%20MIR1268A%20)%20OR%20%5Baliases%5D(%20SPTAN1%20)&amp;keywords=MIR1268A,SPTAN1", "MIR1268A;SPTAN1")</f>
        <v>MIR1268A;SPTAN1</v>
      </c>
      <c r="N339" s="0" t="s">
        <v>2044</v>
      </c>
      <c r="O339" s="0" t="s">
        <v>46</v>
      </c>
      <c r="P339" s="0" t="s">
        <v>2045</v>
      </c>
      <c r="Q339" s="0" t="n">
        <v>0.0043</v>
      </c>
      <c r="R339" s="0" t="n">
        <v>0.0048</v>
      </c>
      <c r="S339" s="0" t="n">
        <v>0.0041</v>
      </c>
      <c r="T339" s="0" t="n">
        <v>-1</v>
      </c>
      <c r="U339" s="0" t="n">
        <v>0.0055</v>
      </c>
      <c r="V339" s="0" t="s">
        <v>46</v>
      </c>
      <c r="W339" s="0" t="s">
        <v>46</v>
      </c>
      <c r="X339" s="0" t="s">
        <v>46</v>
      </c>
      <c r="Y339" s="0" t="s">
        <v>46</v>
      </c>
      <c r="Z339" s="0" t="s">
        <v>46</v>
      </c>
      <c r="AA339" s="0" t="s">
        <v>46</v>
      </c>
      <c r="AB339" s="0" t="s">
        <v>46</v>
      </c>
      <c r="AC339" s="0" t="s">
        <v>52</v>
      </c>
      <c r="AD339" s="0" t="s">
        <v>631</v>
      </c>
      <c r="AE339" s="0" t="s">
        <v>2046</v>
      </c>
      <c r="AF339" s="0" t="s">
        <v>2047</v>
      </c>
      <c r="AG339" s="0" t="s">
        <v>2048</v>
      </c>
      <c r="AH339" s="0" t="s">
        <v>2049</v>
      </c>
      <c r="AI339" s="0" t="s">
        <v>46</v>
      </c>
      <c r="AJ339" s="0" t="s">
        <v>46</v>
      </c>
      <c r="AK339" s="0" t="s">
        <v>46</v>
      </c>
      <c r="AL339" s="0" t="s">
        <v>46</v>
      </c>
    </row>
    <row r="340" customFormat="false" ht="15" hidden="false" customHeight="false" outlineLevel="0" collapsed="false">
      <c r="B340" s="0" t="str">
        <f aca="false">HYPERLINK("https://genome.ucsc.edu/cgi-bin/hgTracks?db=hg19&amp;position=chr9%3A131344894%2D131344894", "chr9:131344894")</f>
        <v>chr9:131344894</v>
      </c>
      <c r="C340" s="0" t="s">
        <v>275</v>
      </c>
      <c r="D340" s="0" t="n">
        <v>131344894</v>
      </c>
      <c r="E340" s="0" t="n">
        <v>131344894</v>
      </c>
      <c r="F340" s="0" t="s">
        <v>39</v>
      </c>
      <c r="G340" s="0" t="s">
        <v>40</v>
      </c>
      <c r="H340" s="0" t="s">
        <v>2050</v>
      </c>
      <c r="I340" s="0" t="s">
        <v>124</v>
      </c>
      <c r="J340" s="0" t="s">
        <v>2051</v>
      </c>
      <c r="K340" s="0" t="s">
        <v>46</v>
      </c>
      <c r="L340" s="0" t="s">
        <v>46</v>
      </c>
      <c r="M340" s="0" t="str">
        <f aca="false">HYPERLINK("https://www.genecards.org/Search/Keyword?queryString=%5Baliases%5D(%20MIR1268A%20)%20OR%20%5Baliases%5D(%20SPTAN1%20)&amp;keywords=MIR1268A,SPTAN1", "MIR1268A;SPTAN1")</f>
        <v>MIR1268A;SPTAN1</v>
      </c>
      <c r="N340" s="0" t="s">
        <v>366</v>
      </c>
      <c r="O340" s="0" t="s">
        <v>46</v>
      </c>
      <c r="P340" s="0" t="s">
        <v>46</v>
      </c>
      <c r="Q340" s="0" t="n">
        <v>-1</v>
      </c>
      <c r="R340" s="0" t="n">
        <v>-1</v>
      </c>
      <c r="S340" s="0" t="n">
        <v>-1</v>
      </c>
      <c r="T340" s="0" t="n">
        <v>-1</v>
      </c>
      <c r="U340" s="0" t="n">
        <v>-1</v>
      </c>
      <c r="V340" s="0" t="s">
        <v>46</v>
      </c>
      <c r="W340" s="0" t="s">
        <v>46</v>
      </c>
      <c r="X340" s="0" t="s">
        <v>340</v>
      </c>
      <c r="Y340" s="0" t="s">
        <v>64</v>
      </c>
      <c r="Z340" s="0" t="s">
        <v>46</v>
      </c>
      <c r="AA340" s="0" t="s">
        <v>46</v>
      </c>
      <c r="AB340" s="0" t="s">
        <v>46</v>
      </c>
      <c r="AC340" s="0" t="s">
        <v>52</v>
      </c>
      <c r="AD340" s="0" t="s">
        <v>631</v>
      </c>
      <c r="AE340" s="0" t="s">
        <v>2046</v>
      </c>
      <c r="AF340" s="0" t="s">
        <v>2047</v>
      </c>
      <c r="AG340" s="0" t="s">
        <v>2048</v>
      </c>
      <c r="AH340" s="0" t="s">
        <v>2049</v>
      </c>
      <c r="AI340" s="0" t="s">
        <v>46</v>
      </c>
      <c r="AJ340" s="0" t="s">
        <v>46</v>
      </c>
      <c r="AK340" s="0" t="s">
        <v>46</v>
      </c>
      <c r="AL340" s="0" t="s">
        <v>46</v>
      </c>
    </row>
    <row r="341" customFormat="false" ht="15" hidden="false" customHeight="false" outlineLevel="0" collapsed="false">
      <c r="B341" s="0" t="str">
        <f aca="false">HYPERLINK("https://genome.ucsc.edu/cgi-bin/hgTracks?db=hg19&amp;position=chr9%3A131696373%2D131696373", "chr9:131696373")</f>
        <v>chr9:131696373</v>
      </c>
      <c r="C341" s="0" t="s">
        <v>275</v>
      </c>
      <c r="D341" s="0" t="n">
        <v>131696373</v>
      </c>
      <c r="E341" s="0" t="n">
        <v>131696373</v>
      </c>
      <c r="F341" s="0" t="s">
        <v>58</v>
      </c>
      <c r="G341" s="0" t="s">
        <v>72</v>
      </c>
      <c r="H341" s="0" t="s">
        <v>2052</v>
      </c>
      <c r="I341" s="0" t="s">
        <v>985</v>
      </c>
      <c r="J341" s="0" t="s">
        <v>2053</v>
      </c>
      <c r="K341" s="0" t="s">
        <v>46</v>
      </c>
      <c r="L341" s="0" t="str">
        <f aca="false">HYPERLINK("https://www.ncbi.nlm.nih.gov/snp/rs148784243", "rs148784243")</f>
        <v>rs148784243</v>
      </c>
      <c r="M341" s="0" t="str">
        <f aca="false">HYPERLINK("https://www.genecards.org/Search/Keyword?queryString=%5Baliases%5D(%20PHYHD1%20)&amp;keywords=PHYHD1", "PHYHD1")</f>
        <v>PHYHD1</v>
      </c>
      <c r="N341" s="0" t="s">
        <v>63</v>
      </c>
      <c r="O341" s="0" t="s">
        <v>46</v>
      </c>
      <c r="P341" s="0" t="s">
        <v>46</v>
      </c>
      <c r="Q341" s="0" t="n">
        <v>0.012</v>
      </c>
      <c r="R341" s="0" t="n">
        <v>0.0104</v>
      </c>
      <c r="S341" s="0" t="n">
        <v>0.0111</v>
      </c>
      <c r="T341" s="0" t="n">
        <v>-1</v>
      </c>
      <c r="U341" s="0" t="n">
        <v>0.0093</v>
      </c>
      <c r="V341" s="0" t="s">
        <v>46</v>
      </c>
      <c r="W341" s="0" t="s">
        <v>46</v>
      </c>
      <c r="X341" s="0" t="s">
        <v>49</v>
      </c>
      <c r="Y341" s="0" t="s">
        <v>64</v>
      </c>
      <c r="Z341" s="0" t="s">
        <v>46</v>
      </c>
      <c r="AA341" s="0" t="s">
        <v>46</v>
      </c>
      <c r="AB341" s="0" t="s">
        <v>46</v>
      </c>
      <c r="AC341" s="0" t="s">
        <v>52</v>
      </c>
      <c r="AD341" s="0" t="s">
        <v>53</v>
      </c>
      <c r="AE341" s="0" t="s">
        <v>2054</v>
      </c>
      <c r="AF341" s="0" t="s">
        <v>2055</v>
      </c>
      <c r="AG341" s="0" t="s">
        <v>2056</v>
      </c>
      <c r="AH341" s="0" t="s">
        <v>46</v>
      </c>
      <c r="AI341" s="0" t="s">
        <v>46</v>
      </c>
      <c r="AJ341" s="0" t="s">
        <v>46</v>
      </c>
      <c r="AK341" s="0" t="s">
        <v>46</v>
      </c>
      <c r="AL341" s="0" t="s">
        <v>46</v>
      </c>
    </row>
    <row r="342" customFormat="false" ht="15" hidden="false" customHeight="false" outlineLevel="0" collapsed="false">
      <c r="B342" s="0" t="str">
        <f aca="false">HYPERLINK("https://genome.ucsc.edu/cgi-bin/hgTracks?db=hg19&amp;position=chr9%3A137968997%2D137968998", "chr9:137968997")</f>
        <v>chr9:137968997</v>
      </c>
      <c r="C342" s="0" t="s">
        <v>275</v>
      </c>
      <c r="D342" s="0" t="n">
        <v>137968997</v>
      </c>
      <c r="E342" s="0" t="n">
        <v>137968998</v>
      </c>
      <c r="F342" s="0" t="s">
        <v>2057</v>
      </c>
      <c r="G342" s="0" t="s">
        <v>312</v>
      </c>
      <c r="H342" s="0" t="s">
        <v>2058</v>
      </c>
      <c r="I342" s="0" t="s">
        <v>1322</v>
      </c>
      <c r="J342" s="0" t="s">
        <v>2059</v>
      </c>
      <c r="K342" s="0" t="s">
        <v>46</v>
      </c>
      <c r="L342" s="0" t="str">
        <f aca="false">HYPERLINK("https://www.ncbi.nlm.nih.gov/snp/rs746234323", "rs746234323")</f>
        <v>rs746234323</v>
      </c>
      <c r="M342" s="0" t="str">
        <f aca="false">HYPERLINK("https://www.genecards.org/Search/Keyword?queryString=%5Baliases%5D(%20OLFM1%20)&amp;keywords=OLFM1", "OLFM1")</f>
        <v>OLFM1</v>
      </c>
      <c r="N342" s="0" t="s">
        <v>601</v>
      </c>
      <c r="O342" s="0" t="s">
        <v>623</v>
      </c>
      <c r="P342" s="0" t="s">
        <v>2060</v>
      </c>
      <c r="Q342" s="0" t="n">
        <v>0.0034217</v>
      </c>
      <c r="R342" s="0" t="n">
        <v>0.0007</v>
      </c>
      <c r="S342" s="0" t="n">
        <v>0.0006</v>
      </c>
      <c r="T342" s="0" t="n">
        <v>-1</v>
      </c>
      <c r="U342" s="0" t="n">
        <v>-1</v>
      </c>
      <c r="V342" s="0" t="s">
        <v>46</v>
      </c>
      <c r="W342" s="0" t="s">
        <v>46</v>
      </c>
      <c r="X342" s="0" t="s">
        <v>46</v>
      </c>
      <c r="Y342" s="0" t="s">
        <v>46</v>
      </c>
      <c r="Z342" s="0" t="s">
        <v>46</v>
      </c>
      <c r="AA342" s="0" t="s">
        <v>46</v>
      </c>
      <c r="AB342" s="0" t="s">
        <v>46</v>
      </c>
      <c r="AC342" s="0" t="s">
        <v>52</v>
      </c>
      <c r="AD342" s="0" t="s">
        <v>53</v>
      </c>
      <c r="AE342" s="0" t="s">
        <v>2061</v>
      </c>
      <c r="AF342" s="0" t="s">
        <v>2062</v>
      </c>
      <c r="AG342" s="0" t="s">
        <v>2063</v>
      </c>
      <c r="AH342" s="0" t="s">
        <v>46</v>
      </c>
      <c r="AI342" s="0" t="s">
        <v>46</v>
      </c>
      <c r="AJ342" s="0" t="s">
        <v>46</v>
      </c>
      <c r="AK342" s="0" t="s">
        <v>46</v>
      </c>
      <c r="AL342" s="0" t="s">
        <v>46</v>
      </c>
    </row>
    <row r="343" customFormat="false" ht="15" hidden="false" customHeight="false" outlineLevel="0" collapsed="false">
      <c r="B343" s="0" t="str">
        <f aca="false">HYPERLINK("https://genome.ucsc.edu/cgi-bin/hgTracks?db=hg19&amp;position=chr9%3A138710187%2D138710187", "chr9:138710187")</f>
        <v>chr9:138710187</v>
      </c>
      <c r="C343" s="0" t="s">
        <v>275</v>
      </c>
      <c r="D343" s="0" t="n">
        <v>138710187</v>
      </c>
      <c r="E343" s="0" t="n">
        <v>138710187</v>
      </c>
      <c r="F343" s="0" t="s">
        <v>58</v>
      </c>
      <c r="G343" s="0" t="s">
        <v>40</v>
      </c>
      <c r="H343" s="0" t="s">
        <v>2064</v>
      </c>
      <c r="I343" s="0" t="s">
        <v>1789</v>
      </c>
      <c r="J343" s="0" t="s">
        <v>2065</v>
      </c>
      <c r="K343" s="0" t="s">
        <v>46</v>
      </c>
      <c r="L343" s="0" t="str">
        <f aca="false">HYPERLINK("https://www.ncbi.nlm.nih.gov/snp/rs13283314", "rs13283314")</f>
        <v>rs13283314</v>
      </c>
      <c r="M343" s="0" t="str">
        <f aca="false">HYPERLINK("https://www.genecards.org/Search/Keyword?queryString=%5Baliases%5D(%20CAMSAP1%20)&amp;keywords=CAMSAP1", "CAMSAP1")</f>
        <v>CAMSAP1</v>
      </c>
      <c r="N343" s="0" t="s">
        <v>63</v>
      </c>
      <c r="O343" s="0" t="s">
        <v>46</v>
      </c>
      <c r="P343" s="0" t="s">
        <v>46</v>
      </c>
      <c r="Q343" s="0" t="n">
        <v>0.0137</v>
      </c>
      <c r="R343" s="0" t="n">
        <v>0.0146</v>
      </c>
      <c r="S343" s="0" t="n">
        <v>0.0139</v>
      </c>
      <c r="T343" s="0" t="n">
        <v>-1</v>
      </c>
      <c r="U343" s="0" t="n">
        <v>0.0152</v>
      </c>
      <c r="V343" s="0" t="s">
        <v>46</v>
      </c>
      <c r="W343" s="0" t="s">
        <v>46</v>
      </c>
      <c r="X343" s="0" t="s">
        <v>385</v>
      </c>
      <c r="Y343" s="0" t="s">
        <v>64</v>
      </c>
      <c r="Z343" s="0" t="s">
        <v>46</v>
      </c>
      <c r="AA343" s="0" t="s">
        <v>46</v>
      </c>
      <c r="AB343" s="0" t="s">
        <v>46</v>
      </c>
      <c r="AC343" s="0" t="s">
        <v>52</v>
      </c>
      <c r="AD343" s="0" t="s">
        <v>53</v>
      </c>
      <c r="AE343" s="0" t="s">
        <v>2066</v>
      </c>
      <c r="AF343" s="0" t="s">
        <v>2067</v>
      </c>
      <c r="AG343" s="0" t="s">
        <v>2068</v>
      </c>
      <c r="AH343" s="0" t="s">
        <v>46</v>
      </c>
      <c r="AI343" s="0" t="s">
        <v>46</v>
      </c>
      <c r="AJ343" s="0" t="s">
        <v>46</v>
      </c>
      <c r="AK343" s="0" t="s">
        <v>46</v>
      </c>
      <c r="AL343" s="0" t="s">
        <v>46</v>
      </c>
    </row>
    <row r="344" customFormat="false" ht="15" hidden="false" customHeight="false" outlineLevel="0" collapsed="false">
      <c r="B344" s="0" t="str">
        <f aca="false">HYPERLINK("https://genome.ucsc.edu/cgi-bin/hgTracks?db=hg19&amp;position=chrX%3A49040116%2D49040117", "chrX:49040116")</f>
        <v>chrX:49040116</v>
      </c>
      <c r="C344" s="0" t="s">
        <v>109</v>
      </c>
      <c r="D344" s="0" t="n">
        <v>49040116</v>
      </c>
      <c r="E344" s="0" t="n">
        <v>49040117</v>
      </c>
      <c r="F344" s="0" t="s">
        <v>877</v>
      </c>
      <c r="G344" s="0" t="s">
        <v>312</v>
      </c>
      <c r="H344" s="0" t="s">
        <v>2069</v>
      </c>
      <c r="I344" s="0" t="s">
        <v>1078</v>
      </c>
      <c r="J344" s="0" t="s">
        <v>2070</v>
      </c>
      <c r="K344" s="0" t="s">
        <v>46</v>
      </c>
      <c r="L344" s="0" t="str">
        <f aca="false">HYPERLINK("https://www.ncbi.nlm.nih.gov/snp/rs781868188", "rs781868188")</f>
        <v>rs781868188</v>
      </c>
      <c r="M344" s="0" t="str">
        <f aca="false">HYPERLINK("https://www.genecards.org/Search/Keyword?queryString=%5Baliases%5D(%20PRICKLE3%20)&amp;keywords=PRICKLE3", "PRICKLE3")</f>
        <v>PRICKLE3</v>
      </c>
      <c r="N344" s="0" t="s">
        <v>601</v>
      </c>
      <c r="O344" s="0" t="s">
        <v>623</v>
      </c>
      <c r="P344" s="0" t="s">
        <v>2071</v>
      </c>
      <c r="Q344" s="0" t="n">
        <v>0.008197</v>
      </c>
      <c r="R344" s="0" t="n">
        <v>0.0002</v>
      </c>
      <c r="S344" s="0" t="n">
        <v>-1</v>
      </c>
      <c r="T344" s="0" t="n">
        <v>-1</v>
      </c>
      <c r="U344" s="0" t="n">
        <v>-1</v>
      </c>
      <c r="V344" s="0" t="s">
        <v>46</v>
      </c>
      <c r="W344" s="0" t="s">
        <v>46</v>
      </c>
      <c r="X344" s="0" t="s">
        <v>46</v>
      </c>
      <c r="Y344" s="0" t="s">
        <v>46</v>
      </c>
      <c r="Z344" s="0" t="s">
        <v>46</v>
      </c>
      <c r="AA344" s="0" t="s">
        <v>46</v>
      </c>
      <c r="AB344" s="0" t="s">
        <v>46</v>
      </c>
      <c r="AC344" s="0" t="s">
        <v>52</v>
      </c>
      <c r="AD344" s="0" t="s">
        <v>53</v>
      </c>
      <c r="AE344" s="0" t="s">
        <v>2072</v>
      </c>
      <c r="AF344" s="0" t="s">
        <v>2073</v>
      </c>
      <c r="AG344" s="0" t="s">
        <v>46</v>
      </c>
      <c r="AH344" s="0" t="s">
        <v>46</v>
      </c>
      <c r="AI344" s="0" t="s">
        <v>46</v>
      </c>
      <c r="AJ344" s="0" t="s">
        <v>46</v>
      </c>
      <c r="AK344" s="0" t="s">
        <v>46</v>
      </c>
      <c r="AL344" s="0" t="s">
        <v>46</v>
      </c>
    </row>
    <row r="345" customFormat="false" ht="15" hidden="false" customHeight="false" outlineLevel="0" collapsed="false">
      <c r="B345" s="0" t="str">
        <f aca="false">HYPERLINK("https://genome.ucsc.edu/cgi-bin/hgTracks?db=hg19&amp;position=chrX%3A69673805%2D69673805", "chrX:69673805")</f>
        <v>chrX:69673805</v>
      </c>
      <c r="C345" s="0" t="s">
        <v>109</v>
      </c>
      <c r="D345" s="0" t="n">
        <v>69673805</v>
      </c>
      <c r="E345" s="0" t="n">
        <v>69673805</v>
      </c>
      <c r="F345" s="0" t="s">
        <v>40</v>
      </c>
      <c r="G345" s="0" t="s">
        <v>58</v>
      </c>
      <c r="H345" s="0" t="s">
        <v>2074</v>
      </c>
      <c r="I345" s="0" t="s">
        <v>909</v>
      </c>
      <c r="J345" s="0" t="s">
        <v>2075</v>
      </c>
      <c r="K345" s="0" t="s">
        <v>46</v>
      </c>
      <c r="L345" s="0" t="s">
        <v>46</v>
      </c>
      <c r="M345" s="0" t="str">
        <f aca="false">HYPERLINK("https://www.genecards.org/Search/Keyword?queryString=%5Baliases%5D(%20DLG3%20)%20OR%20%5Baliases%5D(%20DLG3-AS1%20)&amp;keywords=DLG3,DLG3-AS1", "DLG3;DLG3-AS1")</f>
        <v>DLG3;DLG3-AS1</v>
      </c>
      <c r="N345" s="0" t="s">
        <v>366</v>
      </c>
      <c r="O345" s="0" t="s">
        <v>46</v>
      </c>
      <c r="P345" s="0" t="s">
        <v>46</v>
      </c>
      <c r="Q345" s="0" t="n">
        <v>-1</v>
      </c>
      <c r="R345" s="0" t="n">
        <v>-1</v>
      </c>
      <c r="S345" s="0" t="n">
        <v>-1</v>
      </c>
      <c r="T345" s="0" t="n">
        <v>-1</v>
      </c>
      <c r="U345" s="0" t="n">
        <v>-1</v>
      </c>
      <c r="V345" s="0" t="s">
        <v>46</v>
      </c>
      <c r="W345" s="0" t="s">
        <v>46</v>
      </c>
      <c r="X345" s="0" t="s">
        <v>340</v>
      </c>
      <c r="Y345" s="0" t="s">
        <v>64</v>
      </c>
      <c r="Z345" s="0" t="s">
        <v>46</v>
      </c>
      <c r="AA345" s="0" t="s">
        <v>46</v>
      </c>
      <c r="AB345" s="0" t="s">
        <v>46</v>
      </c>
      <c r="AC345" s="0" t="s">
        <v>52</v>
      </c>
      <c r="AD345" s="0" t="s">
        <v>182</v>
      </c>
      <c r="AE345" s="0" t="s">
        <v>2076</v>
      </c>
      <c r="AF345" s="0" t="s">
        <v>2077</v>
      </c>
      <c r="AG345" s="0" t="s">
        <v>2078</v>
      </c>
      <c r="AH345" s="0" t="s">
        <v>2079</v>
      </c>
      <c r="AI345" s="0" t="s">
        <v>46</v>
      </c>
      <c r="AJ345" s="0" t="s">
        <v>46</v>
      </c>
      <c r="AK345" s="0" t="s">
        <v>46</v>
      </c>
      <c r="AL345" s="0" t="s">
        <v>46</v>
      </c>
    </row>
    <row r="346" customFormat="false" ht="15" hidden="false" customHeight="false" outlineLevel="0" collapsed="false">
      <c r="B346" s="0" t="str">
        <f aca="false">HYPERLINK("https://genome.ucsc.edu/cgi-bin/hgTracks?db=hg19&amp;position=chrX%3A70613076%2D70613076", "chrX:70613076")</f>
        <v>chrX:70613076</v>
      </c>
      <c r="C346" s="0" t="s">
        <v>109</v>
      </c>
      <c r="D346" s="0" t="n">
        <v>70613076</v>
      </c>
      <c r="E346" s="0" t="n">
        <v>70613076</v>
      </c>
      <c r="F346" s="0" t="s">
        <v>312</v>
      </c>
      <c r="G346" s="0" t="s">
        <v>1402</v>
      </c>
      <c r="H346" s="0" t="s">
        <v>2080</v>
      </c>
      <c r="I346" s="0" t="s">
        <v>692</v>
      </c>
      <c r="J346" s="0" t="s">
        <v>2081</v>
      </c>
      <c r="K346" s="0" t="s">
        <v>46</v>
      </c>
      <c r="L346" s="0" t="s">
        <v>46</v>
      </c>
      <c r="M346" s="0" t="str">
        <f aca="false">HYPERLINK("https://www.genecards.org/Search/Keyword?queryString=%5Baliases%5D(%20BCYRN1%20)%20OR%20%5Baliases%5D(%20TAF1%20)&amp;keywords=BCYRN1,TAF1", "BCYRN1;TAF1")</f>
        <v>BCYRN1;TAF1</v>
      </c>
      <c r="N346" s="0" t="s">
        <v>366</v>
      </c>
      <c r="O346" s="0" t="s">
        <v>46</v>
      </c>
      <c r="P346" s="0" t="s">
        <v>46</v>
      </c>
      <c r="Q346" s="0" t="n">
        <v>-1</v>
      </c>
      <c r="R346" s="0" t="n">
        <v>-1</v>
      </c>
      <c r="S346" s="0" t="n">
        <v>-1</v>
      </c>
      <c r="T346" s="0" t="n">
        <v>-1</v>
      </c>
      <c r="U346" s="0" t="n">
        <v>-1</v>
      </c>
      <c r="V346" s="0" t="s">
        <v>46</v>
      </c>
      <c r="W346" s="0" t="s">
        <v>46</v>
      </c>
      <c r="X346" s="0" t="s">
        <v>46</v>
      </c>
      <c r="Y346" s="0" t="s">
        <v>46</v>
      </c>
      <c r="Z346" s="0" t="s">
        <v>46</v>
      </c>
      <c r="AA346" s="0" t="s">
        <v>46</v>
      </c>
      <c r="AB346" s="0" t="s">
        <v>46</v>
      </c>
      <c r="AC346" s="0" t="s">
        <v>319</v>
      </c>
      <c r="AD346" s="0" t="s">
        <v>182</v>
      </c>
      <c r="AE346" s="0" t="s">
        <v>2082</v>
      </c>
      <c r="AF346" s="0" t="s">
        <v>2083</v>
      </c>
      <c r="AG346" s="0" t="s">
        <v>2084</v>
      </c>
      <c r="AH346" s="0" t="s">
        <v>2085</v>
      </c>
      <c r="AI346" s="0" t="s">
        <v>46</v>
      </c>
      <c r="AJ346" s="0" t="s">
        <v>46</v>
      </c>
      <c r="AK346" s="0" t="s">
        <v>46</v>
      </c>
      <c r="AL346" s="0" t="s">
        <v>46</v>
      </c>
    </row>
    <row r="347" customFormat="false" ht="15" hidden="false" customHeight="false" outlineLevel="0" collapsed="false">
      <c r="B347" s="0" t="str">
        <f aca="false">HYPERLINK("https://genome.ucsc.edu/cgi-bin/hgTracks?db=hg19&amp;position=chrX%3A71813191%2D71813191", "chrX:71813191")</f>
        <v>chrX:71813191</v>
      </c>
      <c r="C347" s="0" t="s">
        <v>109</v>
      </c>
      <c r="D347" s="0" t="n">
        <v>71813191</v>
      </c>
      <c r="E347" s="0" t="n">
        <v>71813191</v>
      </c>
      <c r="F347" s="0" t="s">
        <v>312</v>
      </c>
      <c r="G347" s="0" t="s">
        <v>1452</v>
      </c>
      <c r="H347" s="0" t="s">
        <v>2086</v>
      </c>
      <c r="I347" s="0" t="s">
        <v>2087</v>
      </c>
      <c r="J347" s="0" t="s">
        <v>2088</v>
      </c>
      <c r="K347" s="0" t="s">
        <v>46</v>
      </c>
      <c r="L347" s="0" t="str">
        <f aca="false">HYPERLINK("https://www.ncbi.nlm.nih.gov/snp/rs35500546", "rs35500546")</f>
        <v>rs35500546</v>
      </c>
      <c r="M347" s="0" t="str">
        <f aca="false">HYPERLINK("https://www.genecards.org/Search/Keyword?queryString=%5Baliases%5D(%20PHKA1%20)&amp;keywords=PHKA1", "PHKA1")</f>
        <v>PHKA1</v>
      </c>
      <c r="N347" s="0" t="s">
        <v>601</v>
      </c>
      <c r="O347" s="0" t="s">
        <v>357</v>
      </c>
      <c r="P347" s="0" t="s">
        <v>2089</v>
      </c>
      <c r="Q347" s="0" t="n">
        <v>0.0177</v>
      </c>
      <c r="R347" s="0" t="n">
        <v>0.0079</v>
      </c>
      <c r="S347" s="0" t="n">
        <v>0.0095</v>
      </c>
      <c r="T347" s="0" t="n">
        <v>-1</v>
      </c>
      <c r="U347" s="0" t="n">
        <v>0.0353</v>
      </c>
      <c r="V347" s="0" t="s">
        <v>46</v>
      </c>
      <c r="W347" s="0" t="s">
        <v>46</v>
      </c>
      <c r="X347" s="0" t="s">
        <v>46</v>
      </c>
      <c r="Y347" s="0" t="s">
        <v>46</v>
      </c>
      <c r="Z347" s="0" t="s">
        <v>46</v>
      </c>
      <c r="AA347" s="0" t="s">
        <v>46</v>
      </c>
      <c r="AB347" s="0" t="s">
        <v>46</v>
      </c>
      <c r="AC347" s="0" t="s">
        <v>319</v>
      </c>
      <c r="AD347" s="0" t="s">
        <v>53</v>
      </c>
      <c r="AE347" s="0" t="s">
        <v>2090</v>
      </c>
      <c r="AF347" s="0" t="s">
        <v>2091</v>
      </c>
      <c r="AG347" s="0" t="s">
        <v>2092</v>
      </c>
      <c r="AH347" s="0" t="s">
        <v>2093</v>
      </c>
      <c r="AI347" s="0" t="s">
        <v>929</v>
      </c>
      <c r="AJ347" s="0" t="s">
        <v>46</v>
      </c>
      <c r="AK347" s="0" t="s">
        <v>46</v>
      </c>
      <c r="AL347" s="0" t="s">
        <v>46</v>
      </c>
    </row>
    <row r="348" customFormat="false" ht="15" hidden="false" customHeight="false" outlineLevel="0" collapsed="false">
      <c r="B348" s="0" t="str">
        <f aca="false">HYPERLINK("https://genome.ucsc.edu/cgi-bin/hgTracks?db=hg19&amp;position=chrX%3A105181338%2D105181338", "chrX:105181338")</f>
        <v>chrX:105181338</v>
      </c>
      <c r="C348" s="0" t="s">
        <v>109</v>
      </c>
      <c r="D348" s="0" t="n">
        <v>105181338</v>
      </c>
      <c r="E348" s="0" t="n">
        <v>105181338</v>
      </c>
      <c r="F348" s="0" t="s">
        <v>72</v>
      </c>
      <c r="G348" s="0" t="s">
        <v>58</v>
      </c>
      <c r="H348" s="0" t="s">
        <v>2094</v>
      </c>
      <c r="I348" s="0" t="s">
        <v>364</v>
      </c>
      <c r="J348" s="0" t="s">
        <v>2095</v>
      </c>
      <c r="K348" s="0" t="s">
        <v>46</v>
      </c>
      <c r="L348" s="0" t="s">
        <v>46</v>
      </c>
      <c r="M348" s="0" t="str">
        <f aca="false">HYPERLINK("https://www.genecards.org/Search/Keyword?queryString=%5Baliases%5D(%20NRK%20)&amp;keywords=NRK", "NRK")</f>
        <v>NRK</v>
      </c>
      <c r="N348" s="0" t="s">
        <v>63</v>
      </c>
      <c r="O348" s="0" t="s">
        <v>46</v>
      </c>
      <c r="P348" s="0" t="s">
        <v>46</v>
      </c>
      <c r="Q348" s="0" t="n">
        <v>-1</v>
      </c>
      <c r="R348" s="0" t="n">
        <v>-1</v>
      </c>
      <c r="S348" s="0" t="n">
        <v>-1</v>
      </c>
      <c r="T348" s="0" t="n">
        <v>-1</v>
      </c>
      <c r="U348" s="0" t="n">
        <v>-1</v>
      </c>
      <c r="V348" s="0" t="s">
        <v>46</v>
      </c>
      <c r="W348" s="0" t="s">
        <v>46</v>
      </c>
      <c r="X348" s="0" t="s">
        <v>385</v>
      </c>
      <c r="Y348" s="0" t="s">
        <v>64</v>
      </c>
      <c r="Z348" s="0" t="s">
        <v>46</v>
      </c>
      <c r="AA348" s="0" t="s">
        <v>46</v>
      </c>
      <c r="AB348" s="0" t="s">
        <v>46</v>
      </c>
      <c r="AC348" s="0" t="s">
        <v>52</v>
      </c>
      <c r="AD348" s="0" t="s">
        <v>53</v>
      </c>
      <c r="AE348" s="0" t="s">
        <v>2096</v>
      </c>
      <c r="AF348" s="0" t="s">
        <v>2097</v>
      </c>
      <c r="AG348" s="0" t="s">
        <v>2098</v>
      </c>
      <c r="AH348" s="0" t="s">
        <v>46</v>
      </c>
      <c r="AI348" s="0" t="s">
        <v>46</v>
      </c>
      <c r="AJ348" s="0" t="s">
        <v>46</v>
      </c>
      <c r="AK348" s="0" t="s">
        <v>46</v>
      </c>
      <c r="AL348" s="0" t="s">
        <v>46</v>
      </c>
    </row>
    <row r="349" customFormat="false" ht="15" hidden="false" customHeight="false" outlineLevel="0" collapsed="false">
      <c r="B349" s="0" t="str">
        <f aca="false">HYPERLINK("https://genome.ucsc.edu/cgi-bin/hgTracks?db=hg19&amp;position=chrX%3A107160582%2D107160582", "chrX:107160582")</f>
        <v>chrX:107160582</v>
      </c>
      <c r="C349" s="0" t="s">
        <v>109</v>
      </c>
      <c r="D349" s="0" t="n">
        <v>107160582</v>
      </c>
      <c r="E349" s="0" t="n">
        <v>107160582</v>
      </c>
      <c r="F349" s="0" t="s">
        <v>39</v>
      </c>
      <c r="G349" s="0" t="s">
        <v>40</v>
      </c>
      <c r="H349" s="0" t="s">
        <v>2099</v>
      </c>
      <c r="I349" s="0" t="s">
        <v>692</v>
      </c>
      <c r="J349" s="0" t="s">
        <v>2100</v>
      </c>
      <c r="K349" s="0" t="s">
        <v>46</v>
      </c>
      <c r="L349" s="0" t="str">
        <f aca="false">HYPERLINK("https://www.ncbi.nlm.nih.gov/snp/rs192976115", "rs192976115")</f>
        <v>rs192976115</v>
      </c>
      <c r="M349" s="0" t="str">
        <f aca="false">HYPERLINK("https://www.genecards.org/Search/Keyword?queryString=%5Baliases%5D(%20LOC101928335%20)%20OR%20%5Baliases%5D(%20MID2%20)&amp;keywords=LOC101928335,MID2", "LOC101928335;MID2")</f>
        <v>LOC101928335;MID2</v>
      </c>
      <c r="N349" s="0" t="s">
        <v>366</v>
      </c>
      <c r="O349" s="0" t="s">
        <v>46</v>
      </c>
      <c r="P349" s="0" t="s">
        <v>46</v>
      </c>
      <c r="Q349" s="0" t="n">
        <v>0.0042</v>
      </c>
      <c r="R349" s="0" t="n">
        <v>0.0007</v>
      </c>
      <c r="S349" s="0" t="n">
        <v>0.0004</v>
      </c>
      <c r="T349" s="0" t="n">
        <v>-1</v>
      </c>
      <c r="U349" s="0" t="n">
        <v>0.001</v>
      </c>
      <c r="V349" s="0" t="s">
        <v>46</v>
      </c>
      <c r="W349" s="0" t="s">
        <v>46</v>
      </c>
      <c r="X349" s="0" t="s">
        <v>340</v>
      </c>
      <c r="Y349" s="0" t="s">
        <v>64</v>
      </c>
      <c r="Z349" s="0" t="s">
        <v>46</v>
      </c>
      <c r="AA349" s="0" t="s">
        <v>46</v>
      </c>
      <c r="AB349" s="0" t="s">
        <v>46</v>
      </c>
      <c r="AC349" s="0" t="s">
        <v>52</v>
      </c>
      <c r="AD349" s="0" t="s">
        <v>182</v>
      </c>
      <c r="AE349" s="0" t="s">
        <v>2101</v>
      </c>
      <c r="AF349" s="0" t="s">
        <v>2102</v>
      </c>
      <c r="AG349" s="0" t="s">
        <v>2103</v>
      </c>
      <c r="AH349" s="0" t="s">
        <v>2104</v>
      </c>
      <c r="AI349" s="0" t="s">
        <v>46</v>
      </c>
      <c r="AJ349" s="0" t="s">
        <v>46</v>
      </c>
      <c r="AK349" s="0" t="s">
        <v>46</v>
      </c>
      <c r="AL349" s="0" t="s">
        <v>46</v>
      </c>
    </row>
    <row r="350" customFormat="false" ht="15" hidden="false" customHeight="false" outlineLevel="0" collapsed="false">
      <c r="B350" s="0" t="str">
        <f aca="false">HYPERLINK("https://genome.ucsc.edu/cgi-bin/hgTracks?db=hg19&amp;position=chrX%3A107421843%2D107421843", "chrX:107421843")</f>
        <v>chrX:107421843</v>
      </c>
      <c r="C350" s="0" t="s">
        <v>109</v>
      </c>
      <c r="D350" s="0" t="n">
        <v>107421843</v>
      </c>
      <c r="E350" s="0" t="n">
        <v>107421843</v>
      </c>
      <c r="F350" s="0" t="s">
        <v>40</v>
      </c>
      <c r="G350" s="0" t="s">
        <v>39</v>
      </c>
      <c r="H350" s="0" t="s">
        <v>2105</v>
      </c>
      <c r="I350" s="0" t="s">
        <v>2106</v>
      </c>
      <c r="J350" s="0" t="s">
        <v>2107</v>
      </c>
      <c r="K350" s="0" t="s">
        <v>46</v>
      </c>
      <c r="L350" s="0" t="str">
        <f aca="false">HYPERLINK("https://www.ncbi.nlm.nih.gov/snp/rs936879752", "rs936879752")</f>
        <v>rs936879752</v>
      </c>
      <c r="M350" s="0" t="str">
        <f aca="false">HYPERLINK("https://www.genecards.org/Search/Keyword?queryString=%5Baliases%5D(%20COL4A6%20)&amp;keywords=COL4A6", "COL4A6")</f>
        <v>COL4A6</v>
      </c>
      <c r="N350" s="0" t="s">
        <v>63</v>
      </c>
      <c r="O350" s="0" t="s">
        <v>46</v>
      </c>
      <c r="P350" s="0" t="s">
        <v>46</v>
      </c>
      <c r="Q350" s="0" t="n">
        <v>-1</v>
      </c>
      <c r="R350" s="0" t="n">
        <v>-1</v>
      </c>
      <c r="S350" s="0" t="n">
        <v>-1</v>
      </c>
      <c r="T350" s="0" t="n">
        <v>-1</v>
      </c>
      <c r="U350" s="0" t="n">
        <v>-1</v>
      </c>
      <c r="V350" s="0" t="s">
        <v>46</v>
      </c>
      <c r="W350" s="0" t="s">
        <v>46</v>
      </c>
      <c r="X350" s="0" t="s">
        <v>49</v>
      </c>
      <c r="Y350" s="0" t="s">
        <v>64</v>
      </c>
      <c r="Z350" s="0" t="s">
        <v>46</v>
      </c>
      <c r="AA350" s="0" t="s">
        <v>46</v>
      </c>
      <c r="AB350" s="0" t="s">
        <v>46</v>
      </c>
      <c r="AC350" s="0" t="s">
        <v>52</v>
      </c>
      <c r="AD350" s="0" t="s">
        <v>53</v>
      </c>
      <c r="AE350" s="0" t="s">
        <v>2108</v>
      </c>
      <c r="AF350" s="0" t="s">
        <v>2109</v>
      </c>
      <c r="AG350" s="0" t="s">
        <v>2110</v>
      </c>
      <c r="AH350" s="0" t="s">
        <v>2111</v>
      </c>
      <c r="AI350" s="0" t="s">
        <v>46</v>
      </c>
      <c r="AJ350" s="0" t="s">
        <v>46</v>
      </c>
      <c r="AK350" s="0" t="s">
        <v>46</v>
      </c>
      <c r="AL350" s="0" t="s">
        <v>46</v>
      </c>
    </row>
    <row r="351" customFormat="false" ht="15" hidden="false" customHeight="false" outlineLevel="0" collapsed="false">
      <c r="B351" s="0" t="str">
        <f aca="false">HYPERLINK("https://genome.ucsc.edu/cgi-bin/hgTracks?db=hg19&amp;position=chrX%3A153010190%2D153010190", "chrX:153010190")</f>
        <v>chrX:153010190</v>
      </c>
      <c r="C351" s="0" t="s">
        <v>109</v>
      </c>
      <c r="D351" s="0" t="n">
        <v>153010190</v>
      </c>
      <c r="E351" s="0" t="n">
        <v>153010190</v>
      </c>
      <c r="F351" s="0" t="s">
        <v>40</v>
      </c>
      <c r="G351" s="0" t="s">
        <v>39</v>
      </c>
      <c r="H351" s="0" t="s">
        <v>2112</v>
      </c>
      <c r="I351" s="0" t="s">
        <v>2001</v>
      </c>
      <c r="J351" s="0" t="s">
        <v>2113</v>
      </c>
      <c r="K351" s="0" t="s">
        <v>46</v>
      </c>
      <c r="L351" s="0" t="str">
        <f aca="false">HYPERLINK("https://www.ncbi.nlm.nih.gov/snp/rs879949945", "rs879949945")</f>
        <v>rs879949945</v>
      </c>
      <c r="M351" s="0" t="str">
        <f aca="false">HYPERLINK("https://www.genecards.org/Search/Keyword?queryString=%5Baliases%5D(%20ABCD1%20)&amp;keywords=ABCD1", "ABCD1")</f>
        <v>ABCD1</v>
      </c>
      <c r="N351" s="0" t="s">
        <v>338</v>
      </c>
      <c r="O351" s="0" t="s">
        <v>46</v>
      </c>
      <c r="P351" s="0" t="s">
        <v>2114</v>
      </c>
      <c r="Q351" s="0" t="n">
        <v>0.0025</v>
      </c>
      <c r="R351" s="0" t="n">
        <v>-1</v>
      </c>
      <c r="S351" s="0" t="n">
        <v>-1</v>
      </c>
      <c r="T351" s="0" t="n">
        <v>-1</v>
      </c>
      <c r="U351" s="0" t="n">
        <v>-1</v>
      </c>
      <c r="V351" s="0" t="s">
        <v>46</v>
      </c>
      <c r="W351" s="0" t="s">
        <v>46</v>
      </c>
      <c r="X351" s="0" t="s">
        <v>46</v>
      </c>
      <c r="Y351" s="0" t="s">
        <v>46</v>
      </c>
      <c r="Z351" s="0" t="s">
        <v>46</v>
      </c>
      <c r="AA351" s="0" t="s">
        <v>46</v>
      </c>
      <c r="AB351" s="0" t="s">
        <v>46</v>
      </c>
      <c r="AC351" s="0" t="s">
        <v>52</v>
      </c>
      <c r="AD351" s="0" t="s">
        <v>53</v>
      </c>
      <c r="AE351" s="0" t="s">
        <v>2115</v>
      </c>
      <c r="AF351" s="0" t="s">
        <v>2116</v>
      </c>
      <c r="AG351" s="0" t="s">
        <v>2117</v>
      </c>
      <c r="AH351" s="0" t="s">
        <v>2118</v>
      </c>
      <c r="AI351" s="0" t="s">
        <v>46</v>
      </c>
      <c r="AJ351" s="0" t="s">
        <v>46</v>
      </c>
      <c r="AK351" s="0" t="s">
        <v>46</v>
      </c>
      <c r="AL351" s="0" t="s">
        <v>46</v>
      </c>
    </row>
  </sheetData>
  <printOptions headings="false" gridLines="false" gridLinesSet="true" horizontalCentered="false" verticalCentered="false"/>
  <pageMargins left="0.75" right="0.75" top="1" bottom="1"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O304"/>
  <sheetViews>
    <sheetView showFormulas="false" showGridLines="true" showRowColHeaders="true" showZeros="true" rightToLeft="false" tabSelected="false" showOutlineSymbols="true" defaultGridColor="true" view="normal" topLeftCell="A1" colorId="64" zoomScale="120" zoomScaleNormal="120" zoomScalePageLayoutView="100" workbookViewId="0">
      <selection pane="topLeft" activeCell="F5" activeCellId="0" sqref="F5"/>
    </sheetView>
  </sheetViews>
  <sheetFormatPr defaultColWidth="8.6953125" defaultRowHeight="15" zeroHeight="false" outlineLevelRow="0" outlineLevelCol="0"/>
  <cols>
    <col collapsed="false" customWidth="true" hidden="false" outlineLevel="0" max="5" min="5" style="0" width="107.12"/>
  </cols>
  <sheetData>
    <row r="1" customFormat="false" ht="15" hidden="false" customHeight="false" outlineLevel="0" collapsed="false">
      <c r="A1" s="0" t="s">
        <v>2119</v>
      </c>
      <c r="B1" s="0" t="s">
        <v>1362</v>
      </c>
      <c r="C1" s="0" t="s">
        <v>1363</v>
      </c>
      <c r="D1" s="0" t="s">
        <v>1364</v>
      </c>
      <c r="E1" s="0" t="s">
        <v>1365</v>
      </c>
      <c r="F1" s="0" t="s">
        <v>46</v>
      </c>
      <c r="G1" s="0" t="s">
        <v>2120</v>
      </c>
      <c r="H1" s="0" t="s">
        <v>46</v>
      </c>
      <c r="I1" s="0" t="str">
        <f aca="false">HYPERLINK("https://omim.org/entry/604454", "604454")</f>
        <v>604454</v>
      </c>
      <c r="J1" s="0" t="s">
        <v>46</v>
      </c>
      <c r="K1" s="0" t="s">
        <v>46</v>
      </c>
      <c r="L1" s="0" t="s">
        <v>46</v>
      </c>
      <c r="M1" s="0" t="s">
        <v>46</v>
      </c>
      <c r="N1" s="0" t="s">
        <v>46</v>
      </c>
      <c r="O1" s="0" t="s">
        <v>46</v>
      </c>
    </row>
    <row r="2" customFormat="false" ht="15" hidden="false" customHeight="false" outlineLevel="0" collapsed="false">
      <c r="A2" s="0" t="s">
        <v>2121</v>
      </c>
      <c r="B2" s="0" t="s">
        <v>1081</v>
      </c>
      <c r="C2" s="0" t="s">
        <v>1082</v>
      </c>
      <c r="D2" s="0" t="s">
        <v>46</v>
      </c>
      <c r="E2" s="0" t="s">
        <v>1083</v>
      </c>
      <c r="F2" s="0" t="s">
        <v>2122</v>
      </c>
      <c r="G2" s="0" t="s">
        <v>2123</v>
      </c>
      <c r="H2" s="0" t="s">
        <v>2124</v>
      </c>
      <c r="I2" s="0" t="str">
        <f aca="false">HYPERLINK("https://omim.org/entry/613195", "613195")</f>
        <v>613195</v>
      </c>
      <c r="J2" s="0" t="s">
        <v>46</v>
      </c>
      <c r="K2" s="0" t="s">
        <v>46</v>
      </c>
      <c r="L2" s="0" t="s">
        <v>46</v>
      </c>
      <c r="M2" s="0" t="s">
        <v>46</v>
      </c>
      <c r="N2" s="0" t="s">
        <v>46</v>
      </c>
      <c r="O2" s="0" t="s">
        <v>46</v>
      </c>
    </row>
    <row r="3" customFormat="false" ht="15" hidden="false" customHeight="false" outlineLevel="0" collapsed="false">
      <c r="A3" s="0" t="s">
        <v>2125</v>
      </c>
      <c r="B3" s="0" t="s">
        <v>46</v>
      </c>
      <c r="C3" s="0" t="s">
        <v>1719</v>
      </c>
      <c r="D3" s="0" t="s">
        <v>1720</v>
      </c>
      <c r="E3" s="0" t="s">
        <v>1721</v>
      </c>
      <c r="F3" s="0" t="s">
        <v>2126</v>
      </c>
      <c r="G3" s="0" t="s">
        <v>46</v>
      </c>
      <c r="H3" s="0" t="s">
        <v>46</v>
      </c>
      <c r="I3" s="0" t="str">
        <f aca="false">HYPERLINK("https://omim.org/entry/605472", "605472")</f>
        <v>605472</v>
      </c>
      <c r="J3" s="0" t="str">
        <f aca="false">HYPERLINK("https://omim.org/entry/604352", "604352")</f>
        <v>604352</v>
      </c>
      <c r="K3" s="0" t="s">
        <v>46</v>
      </c>
      <c r="L3" s="0" t="s">
        <v>46</v>
      </c>
      <c r="M3" s="0" t="s">
        <v>46</v>
      </c>
      <c r="N3" s="0" t="s">
        <v>46</v>
      </c>
      <c r="O3" s="0" t="s">
        <v>46</v>
      </c>
    </row>
    <row r="4" customFormat="false" ht="15" hidden="false" customHeight="false" outlineLevel="0" collapsed="false">
      <c r="A4" s="0" t="s">
        <v>2127</v>
      </c>
      <c r="B4" s="0" t="s">
        <v>668</v>
      </c>
      <c r="C4" s="0" t="s">
        <v>2128</v>
      </c>
      <c r="D4" s="0" t="s">
        <v>670</v>
      </c>
      <c r="E4" s="0" t="s">
        <v>671</v>
      </c>
      <c r="F4" s="0" t="s">
        <v>2129</v>
      </c>
      <c r="G4" s="0" t="s">
        <v>2130</v>
      </c>
      <c r="H4" s="0" t="s">
        <v>2131</v>
      </c>
      <c r="I4" s="0" t="str">
        <f aca="false">HYPERLINK("https://omim.org/entry/152700", "152700")</f>
        <v>152700</v>
      </c>
      <c r="J4" s="0" t="str">
        <f aca="false">HYPERLINK("https://omim.org/entry/222100", "222100")</f>
        <v>222100</v>
      </c>
      <c r="K4" s="0" t="str">
        <f aca="false">HYPERLINK("https://omim.org/entry/180300", "180300")</f>
        <v>180300</v>
      </c>
      <c r="L4" s="0" t="str">
        <f aca="false">HYPERLINK("https://omim.org/entry/193200", "193200")</f>
        <v>193200</v>
      </c>
      <c r="M4" s="0" t="s">
        <v>46</v>
      </c>
      <c r="N4" s="0" t="s">
        <v>46</v>
      </c>
      <c r="O4" s="0" t="s">
        <v>46</v>
      </c>
    </row>
    <row r="5" customFormat="false" ht="15" hidden="false" customHeight="false" outlineLevel="0" collapsed="false">
      <c r="A5" s="0" t="s">
        <v>2132</v>
      </c>
      <c r="B5" s="0" t="s">
        <v>1834</v>
      </c>
      <c r="C5" s="0" t="s">
        <v>2133</v>
      </c>
      <c r="D5" s="0" t="s">
        <v>1836</v>
      </c>
      <c r="E5" s="0" t="s">
        <v>1837</v>
      </c>
      <c r="F5" s="0" t="s">
        <v>2134</v>
      </c>
      <c r="G5" s="0" t="s">
        <v>2135</v>
      </c>
      <c r="H5" s="0" t="s">
        <v>2136</v>
      </c>
      <c r="I5" s="0" t="str">
        <f aca="false">HYPERLINK("https://omim.org/entry/610743", "610743")</f>
        <v>610743</v>
      </c>
      <c r="J5" s="0" t="str">
        <f aca="false">HYPERLINK("https://omim.org/entry/612998", "612998")</f>
        <v>612998</v>
      </c>
      <c r="K5" s="0" t="s">
        <v>46</v>
      </c>
      <c r="L5" s="0" t="s">
        <v>46</v>
      </c>
      <c r="M5" s="0" t="s">
        <v>46</v>
      </c>
      <c r="N5" s="0" t="s">
        <v>46</v>
      </c>
      <c r="O5" s="0" t="s">
        <v>46</v>
      </c>
    </row>
    <row r="6" customFormat="false" ht="15" hidden="false" customHeight="false" outlineLevel="0" collapsed="false">
      <c r="A6" s="0" t="s">
        <v>2137</v>
      </c>
      <c r="B6" s="0" t="s">
        <v>1950</v>
      </c>
      <c r="C6" s="0" t="s">
        <v>1951</v>
      </c>
      <c r="D6" s="0" t="s">
        <v>1952</v>
      </c>
      <c r="E6" s="0" t="s">
        <v>1953</v>
      </c>
      <c r="F6" s="0" t="s">
        <v>2138</v>
      </c>
      <c r="G6" s="0" t="s">
        <v>2139</v>
      </c>
      <c r="H6" s="0" t="s">
        <v>2140</v>
      </c>
      <c r="I6" s="0" t="str">
        <f aca="false">HYPERLINK("https://omim.org/entry/159950", "159950")</f>
        <v>159950</v>
      </c>
      <c r="J6" s="0" t="s">
        <v>46</v>
      </c>
      <c r="K6" s="0" t="s">
        <v>46</v>
      </c>
      <c r="L6" s="0" t="s">
        <v>46</v>
      </c>
      <c r="M6" s="0" t="s">
        <v>46</v>
      </c>
      <c r="N6" s="0" t="s">
        <v>46</v>
      </c>
      <c r="O6" s="0" t="s">
        <v>46</v>
      </c>
    </row>
    <row r="7" customFormat="false" ht="15" hidden="false" customHeight="false" outlineLevel="0" collapsed="false">
      <c r="A7" s="0" t="s">
        <v>2141</v>
      </c>
      <c r="B7" s="0" t="s">
        <v>1133</v>
      </c>
      <c r="C7" s="0" t="s">
        <v>1134</v>
      </c>
      <c r="D7" s="0" t="s">
        <v>1135</v>
      </c>
      <c r="E7" s="0" t="s">
        <v>1136</v>
      </c>
      <c r="F7" s="0" t="s">
        <v>46</v>
      </c>
      <c r="G7" s="0" t="s">
        <v>2142</v>
      </c>
      <c r="H7" s="0" t="s">
        <v>2143</v>
      </c>
      <c r="I7" s="0" t="str">
        <f aca="false">HYPERLINK("https://omim.org/entry/615842", "615842")</f>
        <v>615842</v>
      </c>
      <c r="J7" s="0" t="s">
        <v>46</v>
      </c>
      <c r="K7" s="0" t="s">
        <v>46</v>
      </c>
      <c r="L7" s="0" t="s">
        <v>46</v>
      </c>
      <c r="M7" s="0" t="s">
        <v>46</v>
      </c>
      <c r="N7" s="0" t="s">
        <v>46</v>
      </c>
      <c r="O7" s="0" t="s">
        <v>46</v>
      </c>
    </row>
    <row r="8" customFormat="false" ht="15" hidden="false" customHeight="false" outlineLevel="0" collapsed="false">
      <c r="A8" s="0" t="s">
        <v>2144</v>
      </c>
      <c r="B8" s="0" t="s">
        <v>426</v>
      </c>
      <c r="C8" s="0" t="s">
        <v>427</v>
      </c>
      <c r="D8" s="0" t="s">
        <v>428</v>
      </c>
      <c r="E8" s="0" t="s">
        <v>429</v>
      </c>
      <c r="F8" s="0" t="s">
        <v>2145</v>
      </c>
      <c r="G8" s="0" t="s">
        <v>2146</v>
      </c>
      <c r="H8" s="0" t="s">
        <v>46</v>
      </c>
      <c r="I8" s="0" t="str">
        <f aca="false">HYPERLINK("https://omim.org/entry/615030", "615030")</f>
        <v>615030</v>
      </c>
      <c r="J8" s="0" t="s">
        <v>46</v>
      </c>
      <c r="K8" s="0" t="s">
        <v>46</v>
      </c>
      <c r="L8" s="0" t="s">
        <v>46</v>
      </c>
      <c r="M8" s="0" t="s">
        <v>46</v>
      </c>
      <c r="N8" s="0" t="s">
        <v>46</v>
      </c>
      <c r="O8" s="0" t="s">
        <v>46</v>
      </c>
    </row>
    <row r="9" customFormat="false" ht="15" hidden="false" customHeight="false" outlineLevel="0" collapsed="false">
      <c r="A9" s="0" t="s">
        <v>2147</v>
      </c>
      <c r="B9" s="0" t="s">
        <v>341</v>
      </c>
      <c r="C9" s="0" t="s">
        <v>342</v>
      </c>
      <c r="D9" s="0" t="s">
        <v>343</v>
      </c>
      <c r="E9" s="0" t="s">
        <v>344</v>
      </c>
      <c r="F9" s="0" t="s">
        <v>2148</v>
      </c>
      <c r="G9" s="0" t="s">
        <v>2149</v>
      </c>
      <c r="H9" s="0" t="s">
        <v>46</v>
      </c>
      <c r="I9" s="0" t="str">
        <f aca="false">HYPERLINK("https://omim.org/entry/193230", "193230")</f>
        <v>193230</v>
      </c>
      <c r="J9" s="0" t="str">
        <f aca="false">HYPERLINK("https://omim.org/entry/614186", "614186")</f>
        <v>614186</v>
      </c>
      <c r="K9" s="0" t="s">
        <v>46</v>
      </c>
      <c r="L9" s="0" t="s">
        <v>46</v>
      </c>
      <c r="M9" s="0" t="s">
        <v>46</v>
      </c>
      <c r="N9" s="0" t="s">
        <v>46</v>
      </c>
      <c r="O9" s="0" t="s">
        <v>46</v>
      </c>
    </row>
    <row r="10" customFormat="false" ht="15" hidden="false" customHeight="false" outlineLevel="0" collapsed="false">
      <c r="A10" s="0" t="s">
        <v>2150</v>
      </c>
      <c r="B10" s="0" t="s">
        <v>1578</v>
      </c>
      <c r="C10" s="0" t="s">
        <v>1579</v>
      </c>
      <c r="D10" s="0" t="s">
        <v>1580</v>
      </c>
      <c r="E10" s="0" t="s">
        <v>1581</v>
      </c>
      <c r="F10" s="0" t="s">
        <v>2151</v>
      </c>
      <c r="G10" s="0" t="s">
        <v>2152</v>
      </c>
      <c r="H10" s="0" t="s">
        <v>2153</v>
      </c>
      <c r="I10" s="0" t="str">
        <f aca="false">HYPERLINK("https://omim.org/entry/614896", "614896")</f>
        <v>614896</v>
      </c>
      <c r="J10" s="0" t="str">
        <f aca="false">HYPERLINK("https://omim.org/entry/615474", "615474")</f>
        <v>615474</v>
      </c>
      <c r="K10" s="0" t="s">
        <v>46</v>
      </c>
      <c r="L10" s="0" t="s">
        <v>46</v>
      </c>
      <c r="M10" s="0" t="s">
        <v>46</v>
      </c>
      <c r="N10" s="0" t="s">
        <v>46</v>
      </c>
      <c r="O10" s="0" t="s">
        <v>46</v>
      </c>
    </row>
    <row r="11" customFormat="false" ht="15" hidden="false" customHeight="false" outlineLevel="0" collapsed="false">
      <c r="A11" s="0" t="s">
        <v>2154</v>
      </c>
      <c r="B11" s="0" t="s">
        <v>1087</v>
      </c>
      <c r="C11" s="0" t="s">
        <v>1088</v>
      </c>
      <c r="D11" s="0" t="s">
        <v>1089</v>
      </c>
      <c r="E11" s="0" t="s">
        <v>1090</v>
      </c>
      <c r="F11" s="0" t="s">
        <v>46</v>
      </c>
      <c r="G11" s="0" t="s">
        <v>2155</v>
      </c>
      <c r="H11" s="0" t="s">
        <v>2156</v>
      </c>
      <c r="I11" s="0" t="str">
        <f aca="false">HYPERLINK("https://omim.org/entry/266920", "266920")</f>
        <v>266920</v>
      </c>
      <c r="J11" s="0" t="s">
        <v>46</v>
      </c>
      <c r="K11" s="0" t="s">
        <v>46</v>
      </c>
      <c r="L11" s="0" t="s">
        <v>46</v>
      </c>
      <c r="M11" s="0" t="s">
        <v>46</v>
      </c>
      <c r="N11" s="0" t="s">
        <v>46</v>
      </c>
      <c r="O11" s="0" t="s">
        <v>46</v>
      </c>
    </row>
    <row r="12" customFormat="false" ht="15" hidden="false" customHeight="false" outlineLevel="0" collapsed="false">
      <c r="A12" s="0" t="s">
        <v>2157</v>
      </c>
      <c r="B12" s="0" t="s">
        <v>720</v>
      </c>
      <c r="C12" s="0" t="s">
        <v>721</v>
      </c>
      <c r="D12" s="0" t="s">
        <v>722</v>
      </c>
      <c r="E12" s="0" t="s">
        <v>723</v>
      </c>
      <c r="F12" s="0" t="s">
        <v>46</v>
      </c>
      <c r="G12" s="0" t="s">
        <v>2158</v>
      </c>
      <c r="H12" s="0" t="s">
        <v>2159</v>
      </c>
      <c r="I12" s="0" t="str">
        <f aca="false">HYPERLINK("https://omim.org/entry/608971", "608971")</f>
        <v>608971</v>
      </c>
      <c r="J12" s="0" t="str">
        <f aca="false">HYPERLINK("https://omim.org/entry/126200", "126200")</f>
        <v>126200</v>
      </c>
      <c r="K12" s="0" t="s">
        <v>46</v>
      </c>
      <c r="L12" s="0" t="s">
        <v>46</v>
      </c>
      <c r="M12" s="0" t="s">
        <v>46</v>
      </c>
      <c r="N12" s="0" t="s">
        <v>46</v>
      </c>
      <c r="O12" s="0" t="s">
        <v>46</v>
      </c>
    </row>
    <row r="13" customFormat="false" ht="15" hidden="false" customHeight="false" outlineLevel="0" collapsed="false">
      <c r="A13" s="0" t="s">
        <v>2160</v>
      </c>
      <c r="B13" s="0" t="s">
        <v>1612</v>
      </c>
      <c r="C13" s="0" t="s">
        <v>1613</v>
      </c>
      <c r="D13" s="0" t="s">
        <v>1614</v>
      </c>
      <c r="E13" s="0" t="s">
        <v>1615</v>
      </c>
      <c r="F13" s="0" t="s">
        <v>2161</v>
      </c>
      <c r="G13" s="0" t="s">
        <v>2162</v>
      </c>
      <c r="H13" s="0" t="s">
        <v>2163</v>
      </c>
      <c r="I13" s="0" t="str">
        <f aca="false">HYPERLINK("https://omim.org/entry/210600", "210600")</f>
        <v>210600</v>
      </c>
      <c r="J13" s="0" t="str">
        <f aca="false">HYPERLINK("https://omim.org/entry/614564", "614564")</f>
        <v>614564</v>
      </c>
      <c r="K13" s="0" t="s">
        <v>46</v>
      </c>
      <c r="L13" s="0" t="s">
        <v>46</v>
      </c>
      <c r="M13" s="0" t="s">
        <v>46</v>
      </c>
      <c r="N13" s="0" t="s">
        <v>46</v>
      </c>
      <c r="O13" s="0" t="s">
        <v>46</v>
      </c>
    </row>
    <row r="14" customFormat="false" ht="15" hidden="false" customHeight="false" outlineLevel="0" collapsed="false">
      <c r="A14" s="0" t="s">
        <v>2164</v>
      </c>
      <c r="B14" s="0" t="s">
        <v>46</v>
      </c>
      <c r="C14" s="0" t="s">
        <v>1997</v>
      </c>
      <c r="D14" s="0" t="s">
        <v>1998</v>
      </c>
      <c r="E14" s="0" t="s">
        <v>1999</v>
      </c>
      <c r="F14" s="0" t="s">
        <v>2165</v>
      </c>
      <c r="G14" s="0" t="s">
        <v>2166</v>
      </c>
      <c r="H14" s="0" t="s">
        <v>2167</v>
      </c>
      <c r="I14" s="0" t="str">
        <f aca="false">HYPERLINK("https://omim.org/entry/268400", "268400")</f>
        <v>268400</v>
      </c>
      <c r="J14" s="0" t="str">
        <f aca="false">HYPERLINK("https://omim.org/entry/266280", "266280")</f>
        <v>266280</v>
      </c>
      <c r="K14" s="0" t="str">
        <f aca="false">HYPERLINK("https://omim.org/entry/218600", "218600")</f>
        <v>218600</v>
      </c>
      <c r="L14" s="0" t="s">
        <v>46</v>
      </c>
      <c r="M14" s="0" t="s">
        <v>46</v>
      </c>
      <c r="N14" s="0" t="s">
        <v>46</v>
      </c>
      <c r="O14" s="0" t="s">
        <v>46</v>
      </c>
    </row>
    <row r="15" customFormat="false" ht="15" hidden="false" customHeight="false" outlineLevel="0" collapsed="false">
      <c r="A15" s="0" t="s">
        <v>2168</v>
      </c>
      <c r="B15" s="0" t="s">
        <v>46</v>
      </c>
      <c r="C15" s="0" t="s">
        <v>1495</v>
      </c>
      <c r="D15" s="0" t="s">
        <v>1496</v>
      </c>
      <c r="E15" s="0" t="s">
        <v>1497</v>
      </c>
      <c r="F15" s="0" t="s">
        <v>46</v>
      </c>
      <c r="G15" s="0" t="s">
        <v>46</v>
      </c>
      <c r="H15" s="0" t="s">
        <v>46</v>
      </c>
      <c r="I15" s="0" t="str">
        <f aca="false">HYPERLINK("https://omim.org/entry/615780", "615780")</f>
        <v>615780</v>
      </c>
      <c r="J15" s="0" t="s">
        <v>46</v>
      </c>
      <c r="K15" s="0" t="s">
        <v>46</v>
      </c>
      <c r="L15" s="0" t="s">
        <v>46</v>
      </c>
      <c r="M15" s="0" t="s">
        <v>46</v>
      </c>
      <c r="N15" s="0" t="s">
        <v>46</v>
      </c>
      <c r="O15" s="0" t="s">
        <v>46</v>
      </c>
    </row>
    <row r="16" customFormat="false" ht="15" hidden="false" customHeight="false" outlineLevel="0" collapsed="false">
      <c r="A16" s="0" t="s">
        <v>2169</v>
      </c>
      <c r="B16" s="0" t="s">
        <v>1963</v>
      </c>
      <c r="C16" s="0" t="s">
        <v>1964</v>
      </c>
      <c r="D16" s="0" t="s">
        <v>1965</v>
      </c>
      <c r="E16" s="0" t="s">
        <v>1966</v>
      </c>
      <c r="F16" s="0" t="s">
        <v>2170</v>
      </c>
      <c r="G16" s="0" t="s">
        <v>2171</v>
      </c>
      <c r="H16" s="0" t="s">
        <v>2172</v>
      </c>
      <c r="I16" s="0" t="str">
        <f aca="false">HYPERLINK("https://omim.org/entry/180100", "180100")</f>
        <v>180100</v>
      </c>
      <c r="J16" s="0" t="s">
        <v>46</v>
      </c>
      <c r="K16" s="0" t="s">
        <v>46</v>
      </c>
      <c r="L16" s="0" t="s">
        <v>46</v>
      </c>
      <c r="M16" s="0" t="s">
        <v>46</v>
      </c>
      <c r="N16" s="0" t="s">
        <v>46</v>
      </c>
      <c r="O16" s="0" t="s">
        <v>46</v>
      </c>
    </row>
    <row r="17" customFormat="false" ht="15" hidden="false" customHeight="false" outlineLevel="0" collapsed="false">
      <c r="A17" s="0" t="s">
        <v>2173</v>
      </c>
      <c r="B17" s="0" t="s">
        <v>2174</v>
      </c>
      <c r="C17" s="0" t="s">
        <v>2175</v>
      </c>
      <c r="D17" s="0" t="s">
        <v>793</v>
      </c>
      <c r="E17" s="0" t="s">
        <v>794</v>
      </c>
      <c r="F17" s="0" t="s">
        <v>2176</v>
      </c>
      <c r="G17" s="0" t="s">
        <v>46</v>
      </c>
      <c r="H17" s="0" t="s">
        <v>46</v>
      </c>
      <c r="I17" s="0" t="str">
        <f aca="false">HYPERLINK("https://omim.org/entry/601709", "601709")</f>
        <v>601709</v>
      </c>
      <c r="J17" s="0" t="s">
        <v>46</v>
      </c>
      <c r="K17" s="0" t="s">
        <v>46</v>
      </c>
      <c r="L17" s="0" t="s">
        <v>46</v>
      </c>
      <c r="M17" s="0" t="s">
        <v>46</v>
      </c>
      <c r="N17" s="0" t="s">
        <v>46</v>
      </c>
      <c r="O17" s="0" t="s">
        <v>46</v>
      </c>
    </row>
    <row r="18" customFormat="false" ht="15" hidden="false" customHeight="false" outlineLevel="0" collapsed="false">
      <c r="A18" s="0" t="s">
        <v>2177</v>
      </c>
      <c r="B18" s="0" t="s">
        <v>1176</v>
      </c>
      <c r="C18" s="0" t="s">
        <v>1177</v>
      </c>
      <c r="D18" s="0" t="s">
        <v>1178</v>
      </c>
      <c r="E18" s="0" t="s">
        <v>1179</v>
      </c>
      <c r="F18" s="0" t="s">
        <v>46</v>
      </c>
      <c r="G18" s="0" t="s">
        <v>2178</v>
      </c>
      <c r="H18" s="0" t="s">
        <v>2179</v>
      </c>
      <c r="I18" s="0" t="str">
        <f aca="false">HYPERLINK("https://omim.org/entry/610090", "610090")</f>
        <v>610090</v>
      </c>
      <c r="J18" s="0" t="s">
        <v>46</v>
      </c>
      <c r="K18" s="0" t="s">
        <v>46</v>
      </c>
      <c r="L18" s="0" t="s">
        <v>46</v>
      </c>
      <c r="M18" s="0" t="s">
        <v>46</v>
      </c>
      <c r="N18" s="0" t="s">
        <v>46</v>
      </c>
      <c r="O18" s="0" t="s">
        <v>46</v>
      </c>
    </row>
    <row r="19" customFormat="false" ht="15" hidden="false" customHeight="false" outlineLevel="0" collapsed="false">
      <c r="A19" s="0" t="s">
        <v>2180</v>
      </c>
      <c r="B19" s="0" t="s">
        <v>1724</v>
      </c>
      <c r="C19" s="0" t="s">
        <v>1725</v>
      </c>
      <c r="D19" s="0" t="s">
        <v>1726</v>
      </c>
      <c r="E19" s="0" t="s">
        <v>1727</v>
      </c>
      <c r="F19" s="0" t="s">
        <v>46</v>
      </c>
      <c r="G19" s="0" t="s">
        <v>2181</v>
      </c>
      <c r="H19" s="0" t="s">
        <v>2182</v>
      </c>
      <c r="I19" s="0" t="str">
        <f aca="false">HYPERLINK("https://omim.org/entry/600955", "600955")</f>
        <v>600955</v>
      </c>
      <c r="J19" s="0" t="s">
        <v>46</v>
      </c>
      <c r="K19" s="0" t="s">
        <v>46</v>
      </c>
      <c r="L19" s="0" t="s">
        <v>46</v>
      </c>
      <c r="M19" s="0" t="s">
        <v>46</v>
      </c>
      <c r="N19" s="0" t="s">
        <v>46</v>
      </c>
      <c r="O19" s="0" t="s">
        <v>46</v>
      </c>
    </row>
    <row r="20" customFormat="false" ht="15" hidden="false" customHeight="false" outlineLevel="0" collapsed="false">
      <c r="A20" s="0" t="s">
        <v>2183</v>
      </c>
      <c r="B20" s="0" t="s">
        <v>1212</v>
      </c>
      <c r="C20" s="0" t="s">
        <v>1213</v>
      </c>
      <c r="D20" s="0" t="s">
        <v>1214</v>
      </c>
      <c r="E20" s="0" t="s">
        <v>1215</v>
      </c>
      <c r="F20" s="0" t="s">
        <v>46</v>
      </c>
      <c r="G20" s="0" t="s">
        <v>2184</v>
      </c>
      <c r="H20" s="0" t="s">
        <v>2185</v>
      </c>
      <c r="I20" s="0" t="str">
        <f aca="false">HYPERLINK("https://omim.org/entry/615960", "615960")</f>
        <v>615960</v>
      </c>
      <c r="J20" s="0" t="s">
        <v>46</v>
      </c>
      <c r="K20" s="0" t="s">
        <v>46</v>
      </c>
      <c r="L20" s="0" t="s">
        <v>46</v>
      </c>
      <c r="M20" s="0" t="s">
        <v>46</v>
      </c>
      <c r="N20" s="0" t="s">
        <v>46</v>
      </c>
      <c r="O20" s="0" t="s">
        <v>46</v>
      </c>
    </row>
    <row r="21" customFormat="false" ht="15" hidden="false" customHeight="false" outlineLevel="0" collapsed="false">
      <c r="A21" s="0" t="s">
        <v>2186</v>
      </c>
      <c r="B21" s="0" t="s">
        <v>1057</v>
      </c>
      <c r="C21" s="0" t="s">
        <v>1058</v>
      </c>
      <c r="D21" s="0" t="s">
        <v>1059</v>
      </c>
      <c r="E21" s="0" t="s">
        <v>1060</v>
      </c>
      <c r="F21" s="0" t="s">
        <v>46</v>
      </c>
      <c r="G21" s="0" t="s">
        <v>2187</v>
      </c>
      <c r="H21" s="0" t="s">
        <v>2188</v>
      </c>
      <c r="I21" s="0" t="str">
        <f aca="false">HYPERLINK("https://omim.org/entry/616113", "616113")</f>
        <v>616113</v>
      </c>
      <c r="J21" s="0" t="s">
        <v>46</v>
      </c>
      <c r="K21" s="0" t="s">
        <v>46</v>
      </c>
      <c r="L21" s="0" t="s">
        <v>46</v>
      </c>
      <c r="M21" s="0" t="s">
        <v>46</v>
      </c>
      <c r="N21" s="0" t="s">
        <v>46</v>
      </c>
      <c r="O21" s="0" t="s">
        <v>46</v>
      </c>
    </row>
    <row r="22" customFormat="false" ht="15" hidden="false" customHeight="false" outlineLevel="0" collapsed="false">
      <c r="A22" s="0" t="s">
        <v>2189</v>
      </c>
      <c r="B22" s="0" t="s">
        <v>1527</v>
      </c>
      <c r="C22" s="0" t="s">
        <v>1528</v>
      </c>
      <c r="D22" s="0" t="s">
        <v>1529</v>
      </c>
      <c r="E22" s="0" t="s">
        <v>1530</v>
      </c>
      <c r="F22" s="0" t="s">
        <v>2190</v>
      </c>
      <c r="G22" s="0" t="s">
        <v>2191</v>
      </c>
      <c r="H22" s="0" t="s">
        <v>2192</v>
      </c>
      <c r="I22" s="0" t="str">
        <f aca="false">HYPERLINK("https://omim.org/entry/615688", "615688")</f>
        <v>615688</v>
      </c>
      <c r="J22" s="0" t="str">
        <f aca="false">HYPERLINK("https://omim.org/entry/182410", "182410")</f>
        <v>182410</v>
      </c>
      <c r="K22" s="0" t="s">
        <v>46</v>
      </c>
      <c r="L22" s="0" t="s">
        <v>46</v>
      </c>
      <c r="M22" s="0" t="s">
        <v>46</v>
      </c>
      <c r="N22" s="0" t="s">
        <v>46</v>
      </c>
      <c r="O22" s="0" t="s">
        <v>46</v>
      </c>
    </row>
    <row r="23" customFormat="false" ht="15" hidden="false" customHeight="false" outlineLevel="0" collapsed="false">
      <c r="A23" s="0" t="s">
        <v>2193</v>
      </c>
      <c r="B23" s="0" t="s">
        <v>308</v>
      </c>
      <c r="C23" s="0" t="s">
        <v>309</v>
      </c>
      <c r="D23" s="0" t="s">
        <v>46</v>
      </c>
      <c r="E23" s="0" t="s">
        <v>310</v>
      </c>
      <c r="F23" s="0" t="s">
        <v>46</v>
      </c>
      <c r="G23" s="0" t="s">
        <v>2194</v>
      </c>
      <c r="H23" s="0" t="s">
        <v>2195</v>
      </c>
      <c r="I23" s="0" t="str">
        <f aca="false">HYPERLINK("https://omim.org/entry/261600", "261600")</f>
        <v>261600</v>
      </c>
      <c r="J23" s="0" t="str">
        <f aca="false">HYPERLINK("https://omim.org/entry/261600", "261600")</f>
        <v>261600</v>
      </c>
      <c r="K23" s="0" t="str">
        <f aca="false">HYPERLINK("https://omim.org/entry/261600", "261600")</f>
        <v>261600</v>
      </c>
      <c r="L23" s="0" t="s">
        <v>46</v>
      </c>
      <c r="M23" s="0" t="s">
        <v>46</v>
      </c>
      <c r="N23" s="0" t="s">
        <v>46</v>
      </c>
      <c r="O23" s="0" t="s">
        <v>46</v>
      </c>
    </row>
    <row r="24" customFormat="false" ht="15" hidden="false" customHeight="false" outlineLevel="0" collapsed="false">
      <c r="A24" s="0" t="s">
        <v>2196</v>
      </c>
      <c r="B24" s="0" t="s">
        <v>349</v>
      </c>
      <c r="C24" s="0" t="s">
        <v>350</v>
      </c>
      <c r="D24" s="0" t="s">
        <v>351</v>
      </c>
      <c r="E24" s="0" t="s">
        <v>352</v>
      </c>
      <c r="F24" s="0" t="s">
        <v>2197</v>
      </c>
      <c r="G24" s="0" t="s">
        <v>2198</v>
      </c>
      <c r="H24" s="0" t="s">
        <v>2199</v>
      </c>
      <c r="I24" s="0" t="str">
        <f aca="false">HYPERLINK("https://omim.org/entry/614882", "614882")</f>
        <v>614882</v>
      </c>
      <c r="J24" s="0" t="s">
        <v>46</v>
      </c>
      <c r="K24" s="0" t="s">
        <v>46</v>
      </c>
      <c r="L24" s="0" t="s">
        <v>46</v>
      </c>
      <c r="M24" s="0" t="s">
        <v>46</v>
      </c>
      <c r="N24" s="0" t="s">
        <v>46</v>
      </c>
      <c r="O24" s="0" t="s">
        <v>46</v>
      </c>
    </row>
    <row r="25" customFormat="false" ht="15" hidden="false" customHeight="false" outlineLevel="0" collapsed="false">
      <c r="A25" s="0" t="s">
        <v>2200</v>
      </c>
      <c r="B25" s="0" t="s">
        <v>1546</v>
      </c>
      <c r="C25" s="0" t="s">
        <v>1547</v>
      </c>
      <c r="D25" s="0" t="s">
        <v>1548</v>
      </c>
      <c r="E25" s="0" t="s">
        <v>1549</v>
      </c>
      <c r="F25" s="0" t="s">
        <v>46</v>
      </c>
      <c r="G25" s="0" t="s">
        <v>2201</v>
      </c>
      <c r="H25" s="0" t="s">
        <v>2202</v>
      </c>
      <c r="I25" s="0" t="str">
        <f aca="false">HYPERLINK("https://omim.org/entry/260300", "260300")</f>
        <v>260300</v>
      </c>
      <c r="J25" s="0" t="s">
        <v>46</v>
      </c>
      <c r="K25" s="0" t="s">
        <v>46</v>
      </c>
      <c r="L25" s="0" t="s">
        <v>46</v>
      </c>
      <c r="M25" s="0" t="s">
        <v>46</v>
      </c>
      <c r="N25" s="0" t="s">
        <v>46</v>
      </c>
      <c r="O25" s="0" t="s">
        <v>46</v>
      </c>
    </row>
    <row r="26" customFormat="false" ht="15" hidden="false" customHeight="false" outlineLevel="0" collapsed="false">
      <c r="A26" s="0" t="s">
        <v>2203</v>
      </c>
      <c r="B26" s="0" t="s">
        <v>1915</v>
      </c>
      <c r="C26" s="0" t="s">
        <v>1916</v>
      </c>
      <c r="D26" s="0" t="s">
        <v>1917</v>
      </c>
      <c r="E26" s="0" t="s">
        <v>1918</v>
      </c>
      <c r="F26" s="0" t="s">
        <v>46</v>
      </c>
      <c r="G26" s="0" t="s">
        <v>2204</v>
      </c>
      <c r="H26" s="0" t="s">
        <v>2205</v>
      </c>
      <c r="I26" s="0" t="str">
        <f aca="false">HYPERLINK("https://omim.org/entry/167800", "167800")</f>
        <v>167800</v>
      </c>
      <c r="J26" s="0" t="s">
        <v>46</v>
      </c>
      <c r="K26" s="0" t="s">
        <v>46</v>
      </c>
      <c r="L26" s="0" t="s">
        <v>46</v>
      </c>
      <c r="M26" s="0" t="s">
        <v>46</v>
      </c>
      <c r="N26" s="0" t="s">
        <v>46</v>
      </c>
      <c r="O26" s="0" t="s">
        <v>46</v>
      </c>
    </row>
    <row r="27" customFormat="false" ht="15" hidden="false" customHeight="false" outlineLevel="0" collapsed="false">
      <c r="A27" s="0" t="s">
        <v>2206</v>
      </c>
      <c r="B27" s="0" t="s">
        <v>393</v>
      </c>
      <c r="C27" s="0" t="s">
        <v>394</v>
      </c>
      <c r="D27" s="0" t="s">
        <v>395</v>
      </c>
      <c r="E27" s="0" t="s">
        <v>396</v>
      </c>
      <c r="F27" s="0" t="s">
        <v>2207</v>
      </c>
      <c r="G27" s="0" t="s">
        <v>2208</v>
      </c>
      <c r="H27" s="0" t="s">
        <v>2209</v>
      </c>
      <c r="I27" s="0" t="str">
        <f aca="false">HYPERLINK("https://omim.org/entry/164200", "164200")</f>
        <v>164200</v>
      </c>
      <c r="J27" s="0" t="str">
        <f aca="false">HYPERLINK("https://omim.org/entry/257850", "257850")</f>
        <v>257850</v>
      </c>
      <c r="K27" s="0" t="str">
        <f aca="false">HYPERLINK("https://omim.org/entry/186100", "186100")</f>
        <v>186100</v>
      </c>
      <c r="L27" s="0" t="str">
        <f aca="false">HYPERLINK("https://omim.org/entry/241550", "241550")</f>
        <v>241550</v>
      </c>
      <c r="M27" s="0" t="str">
        <f aca="false">HYPERLINK("https://omim.org/entry/234100", "234100")</f>
        <v>234100</v>
      </c>
      <c r="N27" s="0" t="str">
        <f aca="false">HYPERLINK("https://omim.org/entry/600309", "600309")</f>
        <v>600309</v>
      </c>
      <c r="O27" s="0" t="str">
        <f aca="false">HYPERLINK("https://omim.org/entry/218400", "218400")</f>
        <v>218400</v>
      </c>
    </row>
    <row r="28" customFormat="false" ht="15" hidden="false" customHeight="false" outlineLevel="0" collapsed="false">
      <c r="A28" s="0" t="s">
        <v>2210</v>
      </c>
      <c r="B28" s="0" t="s">
        <v>1446</v>
      </c>
      <c r="C28" s="0" t="s">
        <v>1447</v>
      </c>
      <c r="D28" s="0" t="s">
        <v>1448</v>
      </c>
      <c r="E28" s="0" t="s">
        <v>1449</v>
      </c>
      <c r="F28" s="0" t="s">
        <v>2211</v>
      </c>
      <c r="G28" s="0" t="s">
        <v>2212</v>
      </c>
      <c r="H28" s="0" t="s">
        <v>2213</v>
      </c>
      <c r="I28" s="0" t="str">
        <f aca="false">HYPERLINK("https://omim.org/entry/601462", "601462")</f>
        <v>601462</v>
      </c>
      <c r="J28" s="0" t="str">
        <f aca="false">HYPERLINK("https://omim.org/entry/608930", "608930")</f>
        <v>608930</v>
      </c>
      <c r="K28" s="0" t="s">
        <v>46</v>
      </c>
      <c r="L28" s="0" t="s">
        <v>46</v>
      </c>
      <c r="M28" s="0" t="s">
        <v>46</v>
      </c>
      <c r="N28" s="0" t="s">
        <v>46</v>
      </c>
      <c r="O28" s="0" t="s">
        <v>46</v>
      </c>
    </row>
    <row r="29" customFormat="false" ht="15" hidden="false" customHeight="false" outlineLevel="0" collapsed="false">
      <c r="A29" s="0" t="s">
        <v>2214</v>
      </c>
      <c r="B29" s="0" t="s">
        <v>2011</v>
      </c>
      <c r="C29" s="0" t="s">
        <v>2012</v>
      </c>
      <c r="D29" s="0" t="s">
        <v>2013</v>
      </c>
      <c r="E29" s="0" t="s">
        <v>2014</v>
      </c>
      <c r="F29" s="0" t="s">
        <v>2215</v>
      </c>
      <c r="G29" s="0" t="s">
        <v>46</v>
      </c>
      <c r="H29" s="0" t="s">
        <v>46</v>
      </c>
      <c r="I29" s="0" t="s">
        <v>46</v>
      </c>
      <c r="J29" s="0" t="s">
        <v>46</v>
      </c>
      <c r="K29" s="0" t="s">
        <v>46</v>
      </c>
      <c r="L29" s="0" t="s">
        <v>46</v>
      </c>
      <c r="M29" s="0" t="s">
        <v>46</v>
      </c>
      <c r="N29" s="0" t="s">
        <v>46</v>
      </c>
      <c r="O29" s="0" t="s">
        <v>46</v>
      </c>
    </row>
    <row r="30" customFormat="false" ht="15" hidden="false" customHeight="false" outlineLevel="0" collapsed="false">
      <c r="A30" s="0" t="s">
        <v>2216</v>
      </c>
      <c r="B30" s="0" t="s">
        <v>1687</v>
      </c>
      <c r="C30" s="0" t="s">
        <v>1688</v>
      </c>
      <c r="D30" s="0" t="s">
        <v>1689</v>
      </c>
      <c r="E30" s="0" t="s">
        <v>1690</v>
      </c>
      <c r="F30" s="0" t="s">
        <v>2217</v>
      </c>
      <c r="G30" s="0" t="s">
        <v>2218</v>
      </c>
      <c r="H30" s="0" t="s">
        <v>2219</v>
      </c>
      <c r="I30" s="0" t="str">
        <f aca="false">HYPERLINK("https://omim.org/entry/168601", "168601")</f>
        <v>168601</v>
      </c>
      <c r="J30" s="0" t="str">
        <f aca="false">HYPERLINK("https://omim.org/entry/605543", "605543")</f>
        <v>605543</v>
      </c>
      <c r="K30" s="0" t="str">
        <f aca="false">HYPERLINK("https://omim.org/entry/127750", "127750")</f>
        <v>127750</v>
      </c>
      <c r="L30" s="0" t="s">
        <v>46</v>
      </c>
      <c r="M30" s="0" t="s">
        <v>46</v>
      </c>
      <c r="N30" s="0" t="s">
        <v>46</v>
      </c>
      <c r="O30" s="0" t="s">
        <v>46</v>
      </c>
    </row>
    <row r="31" customFormat="false" ht="15" hidden="false" customHeight="false" outlineLevel="0" collapsed="false">
      <c r="A31" s="0" t="s">
        <v>2220</v>
      </c>
      <c r="B31" s="0" t="s">
        <v>2108</v>
      </c>
      <c r="C31" s="0" t="s">
        <v>2109</v>
      </c>
      <c r="D31" s="0" t="s">
        <v>2110</v>
      </c>
      <c r="E31" s="0" t="s">
        <v>2111</v>
      </c>
      <c r="F31" s="0" t="s">
        <v>46</v>
      </c>
      <c r="G31" s="0" t="s">
        <v>2221</v>
      </c>
      <c r="H31" s="0" t="s">
        <v>2222</v>
      </c>
      <c r="I31" s="0" t="str">
        <f aca="false">HYPERLINK("https://omim.org/entry/300914", "300914")</f>
        <v>300914</v>
      </c>
      <c r="J31" s="0" t="s">
        <v>46</v>
      </c>
      <c r="K31" s="0" t="s">
        <v>46</v>
      </c>
      <c r="L31" s="0" t="s">
        <v>46</v>
      </c>
      <c r="M31" s="0" t="s">
        <v>46</v>
      </c>
      <c r="N31" s="0" t="s">
        <v>46</v>
      </c>
      <c r="O31" s="0" t="s">
        <v>46</v>
      </c>
    </row>
    <row r="32" customFormat="false" ht="15" hidden="false" customHeight="false" outlineLevel="0" collapsed="false">
      <c r="A32" s="0" t="s">
        <v>2223</v>
      </c>
      <c r="B32" s="0" t="s">
        <v>1035</v>
      </c>
      <c r="C32" s="0" t="s">
        <v>1036</v>
      </c>
      <c r="D32" s="0" t="s">
        <v>1037</v>
      </c>
      <c r="E32" s="0" t="s">
        <v>1038</v>
      </c>
      <c r="F32" s="0" t="s">
        <v>2224</v>
      </c>
      <c r="G32" s="0" t="s">
        <v>2225</v>
      </c>
      <c r="H32" s="0" t="s">
        <v>2226</v>
      </c>
      <c r="I32" s="0" t="str">
        <f aca="false">HYPERLINK("https://omim.org/entry/275200", "275200")</f>
        <v>275200</v>
      </c>
      <c r="J32" s="0" t="str">
        <f aca="false">HYPERLINK("https://omim.org/entry/603373", "603373")</f>
        <v>603373</v>
      </c>
      <c r="K32" s="0" t="str">
        <f aca="false">HYPERLINK("https://omim.org/entry/609152", "609152")</f>
        <v>609152</v>
      </c>
      <c r="L32" s="0" t="s">
        <v>46</v>
      </c>
      <c r="M32" s="0" t="s">
        <v>46</v>
      </c>
      <c r="N32" s="0" t="s">
        <v>46</v>
      </c>
      <c r="O32" s="0" t="s">
        <v>46</v>
      </c>
    </row>
    <row r="33" customFormat="false" ht="15" hidden="false" customHeight="false" outlineLevel="0" collapsed="false">
      <c r="A33" s="0" t="s">
        <v>2227</v>
      </c>
      <c r="B33" s="0" t="s">
        <v>1093</v>
      </c>
      <c r="C33" s="0" t="s">
        <v>1094</v>
      </c>
      <c r="D33" s="0" t="s">
        <v>1095</v>
      </c>
      <c r="E33" s="0" t="s">
        <v>1096</v>
      </c>
      <c r="F33" s="0" t="s">
        <v>2228</v>
      </c>
      <c r="G33" s="0" t="s">
        <v>2229</v>
      </c>
      <c r="H33" s="0" t="s">
        <v>2230</v>
      </c>
      <c r="I33" s="0" t="s">
        <v>46</v>
      </c>
      <c r="J33" s="0" t="s">
        <v>46</v>
      </c>
      <c r="K33" s="0" t="s">
        <v>46</v>
      </c>
      <c r="L33" s="0" t="s">
        <v>46</v>
      </c>
      <c r="M33" s="0" t="s">
        <v>46</v>
      </c>
      <c r="N33" s="0" t="s">
        <v>46</v>
      </c>
      <c r="O33" s="0" t="s">
        <v>46</v>
      </c>
    </row>
    <row r="34" customFormat="false" ht="15" hidden="false" customHeight="false" outlineLevel="0" collapsed="false">
      <c r="A34" s="0" t="s">
        <v>2231</v>
      </c>
      <c r="B34" s="0" t="s">
        <v>1878</v>
      </c>
      <c r="C34" s="0" t="s">
        <v>2232</v>
      </c>
      <c r="D34" s="0" t="s">
        <v>1880</v>
      </c>
      <c r="E34" s="0" t="s">
        <v>1881</v>
      </c>
      <c r="F34" s="0" t="s">
        <v>2233</v>
      </c>
      <c r="G34" s="0" t="s">
        <v>2234</v>
      </c>
      <c r="H34" s="0" t="s">
        <v>2235</v>
      </c>
      <c r="I34" s="0" t="s">
        <v>46</v>
      </c>
      <c r="J34" s="0" t="s">
        <v>46</v>
      </c>
      <c r="K34" s="0" t="s">
        <v>46</v>
      </c>
      <c r="L34" s="0" t="s">
        <v>46</v>
      </c>
      <c r="M34" s="0" t="s">
        <v>46</v>
      </c>
      <c r="N34" s="0" t="s">
        <v>46</v>
      </c>
      <c r="O34" s="0" t="s">
        <v>46</v>
      </c>
    </row>
    <row r="35" customFormat="false" ht="15" hidden="false" customHeight="false" outlineLevel="0" collapsed="false">
      <c r="A35" s="0" t="s">
        <v>2236</v>
      </c>
      <c r="B35" s="0" t="s">
        <v>1892</v>
      </c>
      <c r="C35" s="0" t="s">
        <v>1893</v>
      </c>
      <c r="D35" s="0" t="s">
        <v>1894</v>
      </c>
      <c r="E35" s="0" t="s">
        <v>1895</v>
      </c>
      <c r="F35" s="0" t="s">
        <v>2237</v>
      </c>
      <c r="G35" s="0" t="s">
        <v>2238</v>
      </c>
      <c r="H35" s="0" t="s">
        <v>2239</v>
      </c>
      <c r="I35" s="0" t="str">
        <f aca="false">HYPERLINK("https://omim.org/entry/114550", "114550")</f>
        <v>114550</v>
      </c>
      <c r="J35" s="0" t="str">
        <f aca="false">HYPERLINK("https://omim.org/entry/605074", "605074")</f>
        <v>605074</v>
      </c>
      <c r="K35" s="0" t="s">
        <v>46</v>
      </c>
      <c r="L35" s="0" t="s">
        <v>46</v>
      </c>
      <c r="M35" s="0" t="s">
        <v>46</v>
      </c>
      <c r="N35" s="0" t="s">
        <v>46</v>
      </c>
      <c r="O35" s="0" t="s">
        <v>46</v>
      </c>
    </row>
    <row r="36" customFormat="false" ht="15" hidden="false" customHeight="false" outlineLevel="0" collapsed="false">
      <c r="A36" s="0" t="s">
        <v>2240</v>
      </c>
      <c r="B36" s="0" t="s">
        <v>1139</v>
      </c>
      <c r="C36" s="0" t="s">
        <v>1140</v>
      </c>
      <c r="D36" s="0" t="s">
        <v>1141</v>
      </c>
      <c r="E36" s="0" t="s">
        <v>1142</v>
      </c>
      <c r="F36" s="0" t="s">
        <v>2241</v>
      </c>
      <c r="G36" s="0" t="s">
        <v>2242</v>
      </c>
      <c r="H36" s="0" t="s">
        <v>2243</v>
      </c>
      <c r="I36" s="0" t="s">
        <v>46</v>
      </c>
      <c r="J36" s="0" t="s">
        <v>46</v>
      </c>
      <c r="K36" s="0" t="s">
        <v>46</v>
      </c>
      <c r="L36" s="0" t="s">
        <v>46</v>
      </c>
      <c r="M36" s="0" t="s">
        <v>46</v>
      </c>
      <c r="N36" s="0" t="s">
        <v>46</v>
      </c>
      <c r="O36" s="0" t="s">
        <v>46</v>
      </c>
    </row>
    <row r="37" customFormat="false" ht="15" hidden="false" customHeight="false" outlineLevel="0" collapsed="false">
      <c r="A37" s="0" t="s">
        <v>2244</v>
      </c>
      <c r="B37" s="0" t="s">
        <v>46</v>
      </c>
      <c r="C37" s="0" t="s">
        <v>1944</v>
      </c>
      <c r="D37" s="0" t="s">
        <v>1945</v>
      </c>
      <c r="E37" s="0" t="s">
        <v>1946</v>
      </c>
      <c r="F37" s="0" t="s">
        <v>2245</v>
      </c>
      <c r="G37" s="0" t="s">
        <v>2246</v>
      </c>
      <c r="H37" s="0" t="s">
        <v>2247</v>
      </c>
      <c r="I37" s="0" t="s">
        <v>46</v>
      </c>
      <c r="J37" s="0" t="s">
        <v>46</v>
      </c>
      <c r="K37" s="0" t="s">
        <v>46</v>
      </c>
      <c r="L37" s="0" t="s">
        <v>46</v>
      </c>
      <c r="M37" s="0" t="s">
        <v>46</v>
      </c>
      <c r="N37" s="0" t="s">
        <v>46</v>
      </c>
      <c r="O37" s="0" t="s">
        <v>46</v>
      </c>
    </row>
    <row r="38" customFormat="false" ht="15" hidden="false" customHeight="false" outlineLevel="0" collapsed="false">
      <c r="A38" s="0" t="s">
        <v>2248</v>
      </c>
      <c r="B38" s="0" t="s">
        <v>1329</v>
      </c>
      <c r="C38" s="0" t="s">
        <v>1330</v>
      </c>
      <c r="D38" s="0" t="s">
        <v>1331</v>
      </c>
      <c r="E38" s="0" t="s">
        <v>1332</v>
      </c>
      <c r="F38" s="0" t="s">
        <v>2249</v>
      </c>
      <c r="G38" s="0" t="s">
        <v>2250</v>
      </c>
      <c r="H38" s="0" t="s">
        <v>2251</v>
      </c>
      <c r="I38" s="0" t="s">
        <v>46</v>
      </c>
      <c r="J38" s="0" t="s">
        <v>46</v>
      </c>
      <c r="K38" s="0" t="s">
        <v>46</v>
      </c>
      <c r="L38" s="0" t="s">
        <v>46</v>
      </c>
      <c r="M38" s="0" t="s">
        <v>46</v>
      </c>
      <c r="N38" s="0" t="s">
        <v>46</v>
      </c>
      <c r="O38" s="0" t="s">
        <v>46</v>
      </c>
    </row>
    <row r="39" customFormat="false" ht="15" hidden="false" customHeight="false" outlineLevel="0" collapsed="false">
      <c r="A39" s="0" t="s">
        <v>2252</v>
      </c>
      <c r="B39" s="0" t="s">
        <v>1262</v>
      </c>
      <c r="C39" s="0" t="s">
        <v>1263</v>
      </c>
      <c r="D39" s="0" t="s">
        <v>1264</v>
      </c>
      <c r="E39" s="0" t="s">
        <v>1265</v>
      </c>
      <c r="F39" s="0" t="s">
        <v>2253</v>
      </c>
      <c r="G39" s="0" t="s">
        <v>2254</v>
      </c>
      <c r="H39" s="0" t="s">
        <v>2255</v>
      </c>
      <c r="I39" s="0" t="s">
        <v>46</v>
      </c>
      <c r="J39" s="0" t="s">
        <v>46</v>
      </c>
      <c r="K39" s="0" t="s">
        <v>46</v>
      </c>
      <c r="L39" s="0" t="s">
        <v>46</v>
      </c>
      <c r="M39" s="0" t="s">
        <v>46</v>
      </c>
      <c r="N39" s="0" t="s">
        <v>46</v>
      </c>
      <c r="O39" s="0" t="s">
        <v>46</v>
      </c>
    </row>
    <row r="40" customFormat="false" ht="15" hidden="false" customHeight="false" outlineLevel="0" collapsed="false">
      <c r="A40" s="0" t="s">
        <v>2256</v>
      </c>
      <c r="B40" s="0" t="s">
        <v>1818</v>
      </c>
      <c r="C40" s="0" t="s">
        <v>1819</v>
      </c>
      <c r="D40" s="0" t="s">
        <v>1820</v>
      </c>
      <c r="E40" s="0" t="s">
        <v>1821</v>
      </c>
      <c r="F40" s="0" t="s">
        <v>2257</v>
      </c>
      <c r="G40" s="0" t="s">
        <v>2258</v>
      </c>
      <c r="H40" s="0" t="s">
        <v>46</v>
      </c>
      <c r="I40" s="0" t="s">
        <v>46</v>
      </c>
      <c r="J40" s="0" t="s">
        <v>46</v>
      </c>
      <c r="K40" s="0" t="s">
        <v>46</v>
      </c>
      <c r="L40" s="0" t="s">
        <v>46</v>
      </c>
      <c r="M40" s="0" t="s">
        <v>46</v>
      </c>
      <c r="N40" s="0" t="s">
        <v>46</v>
      </c>
      <c r="O40" s="0" t="s">
        <v>46</v>
      </c>
    </row>
    <row r="41" customFormat="false" ht="15" hidden="false" customHeight="false" outlineLevel="0" collapsed="false">
      <c r="A41" s="0" t="s">
        <v>2259</v>
      </c>
      <c r="B41" s="0" t="s">
        <v>1639</v>
      </c>
      <c r="C41" s="0" t="s">
        <v>2260</v>
      </c>
      <c r="D41" s="0" t="s">
        <v>46</v>
      </c>
      <c r="E41" s="0" t="s">
        <v>1641</v>
      </c>
      <c r="F41" s="0" t="s">
        <v>2261</v>
      </c>
      <c r="G41" s="0" t="s">
        <v>2262</v>
      </c>
      <c r="H41" s="0" t="s">
        <v>2263</v>
      </c>
      <c r="I41" s="0" t="s">
        <v>46</v>
      </c>
      <c r="J41" s="0" t="s">
        <v>46</v>
      </c>
      <c r="K41" s="0" t="s">
        <v>46</v>
      </c>
      <c r="L41" s="0" t="s">
        <v>46</v>
      </c>
      <c r="M41" s="0" t="s">
        <v>46</v>
      </c>
      <c r="N41" s="0" t="s">
        <v>46</v>
      </c>
      <c r="O41" s="0" t="s">
        <v>46</v>
      </c>
    </row>
    <row r="42" customFormat="false" ht="15" hidden="false" customHeight="false" outlineLevel="0" collapsed="false">
      <c r="A42" s="0" t="s">
        <v>2264</v>
      </c>
      <c r="B42" s="0" t="s">
        <v>1736</v>
      </c>
      <c r="C42" s="0" t="s">
        <v>1737</v>
      </c>
      <c r="D42" s="0" t="s">
        <v>1738</v>
      </c>
      <c r="E42" s="0" t="s">
        <v>1739</v>
      </c>
      <c r="F42" s="0" t="s">
        <v>2265</v>
      </c>
      <c r="G42" s="0" t="s">
        <v>2266</v>
      </c>
      <c r="H42" s="0" t="s">
        <v>2267</v>
      </c>
      <c r="I42" s="0" t="str">
        <f aca="false">HYPERLINK("https://omim.org/entry/616368", "616368")</f>
        <v>616368</v>
      </c>
      <c r="J42" s="0" t="s">
        <v>46</v>
      </c>
      <c r="K42" s="0" t="s">
        <v>46</v>
      </c>
      <c r="L42" s="0" t="s">
        <v>46</v>
      </c>
      <c r="M42" s="0" t="s">
        <v>46</v>
      </c>
      <c r="N42" s="0" t="s">
        <v>46</v>
      </c>
      <c r="O42" s="0" t="s">
        <v>46</v>
      </c>
    </row>
    <row r="43" customFormat="false" ht="15" hidden="false" customHeight="false" outlineLevel="0" collapsed="false">
      <c r="A43" s="0" t="s">
        <v>2268</v>
      </c>
      <c r="B43" s="0" t="s">
        <v>1730</v>
      </c>
      <c r="C43" s="0" t="s">
        <v>1731</v>
      </c>
      <c r="D43" s="0" t="s">
        <v>1732</v>
      </c>
      <c r="E43" s="0" t="s">
        <v>1733</v>
      </c>
      <c r="F43" s="0" t="s">
        <v>2269</v>
      </c>
      <c r="G43" s="0" t="s">
        <v>2270</v>
      </c>
      <c r="H43" s="0" t="s">
        <v>2271</v>
      </c>
      <c r="I43" s="0" t="s">
        <v>46</v>
      </c>
      <c r="J43" s="0" t="s">
        <v>46</v>
      </c>
      <c r="K43" s="0" t="s">
        <v>46</v>
      </c>
      <c r="L43" s="0" t="s">
        <v>46</v>
      </c>
      <c r="M43" s="0" t="s">
        <v>46</v>
      </c>
      <c r="N43" s="0" t="s">
        <v>46</v>
      </c>
      <c r="O43" s="0" t="s">
        <v>46</v>
      </c>
    </row>
    <row r="44" customFormat="false" ht="15" hidden="false" customHeight="false" outlineLevel="0" collapsed="false">
      <c r="A44" s="0" t="s">
        <v>2272</v>
      </c>
      <c r="B44" s="0" t="s">
        <v>991</v>
      </c>
      <c r="C44" s="0" t="s">
        <v>992</v>
      </c>
      <c r="D44" s="0" t="s">
        <v>993</v>
      </c>
      <c r="E44" s="0" t="s">
        <v>994</v>
      </c>
      <c r="F44" s="0" t="s">
        <v>2273</v>
      </c>
      <c r="G44" s="0" t="s">
        <v>2274</v>
      </c>
      <c r="H44" s="0" t="s">
        <v>2275</v>
      </c>
      <c r="I44" s="0" t="s">
        <v>46</v>
      </c>
      <c r="J44" s="0" t="s">
        <v>46</v>
      </c>
      <c r="K44" s="0" t="s">
        <v>46</v>
      </c>
      <c r="L44" s="0" t="s">
        <v>46</v>
      </c>
      <c r="M44" s="0" t="s">
        <v>46</v>
      </c>
      <c r="N44" s="0" t="s">
        <v>46</v>
      </c>
      <c r="O44" s="0" t="s">
        <v>46</v>
      </c>
    </row>
    <row r="45" customFormat="false" ht="15" hidden="false" customHeight="false" outlineLevel="0" collapsed="false">
      <c r="A45" s="0" t="s">
        <v>2276</v>
      </c>
      <c r="B45" s="0" t="s">
        <v>292</v>
      </c>
      <c r="C45" s="0" t="s">
        <v>293</v>
      </c>
      <c r="D45" s="0" t="s">
        <v>294</v>
      </c>
      <c r="E45" s="0" t="s">
        <v>295</v>
      </c>
      <c r="F45" s="0" t="s">
        <v>46</v>
      </c>
      <c r="G45" s="0" t="s">
        <v>2277</v>
      </c>
      <c r="H45" s="0" t="s">
        <v>2278</v>
      </c>
      <c r="I45" s="0" t="str">
        <f aca="false">HYPERLINK("https://omim.org/entry/257200", "257200")</f>
        <v>257200</v>
      </c>
      <c r="J45" s="0" t="str">
        <f aca="false">HYPERLINK("https://omim.org/entry/607616", "607616")</f>
        <v>607616</v>
      </c>
      <c r="K45" s="0" t="s">
        <v>46</v>
      </c>
      <c r="L45" s="0" t="s">
        <v>46</v>
      </c>
      <c r="M45" s="0" t="s">
        <v>46</v>
      </c>
      <c r="N45" s="0" t="s">
        <v>46</v>
      </c>
      <c r="O45" s="0" t="s">
        <v>46</v>
      </c>
    </row>
    <row r="46" customFormat="false" ht="15" hidden="false" customHeight="false" outlineLevel="0" collapsed="false">
      <c r="A46" s="0" t="s">
        <v>2279</v>
      </c>
      <c r="B46" s="0" t="s">
        <v>1029</v>
      </c>
      <c r="C46" s="0" t="s">
        <v>1030</v>
      </c>
      <c r="D46" s="0" t="s">
        <v>46</v>
      </c>
      <c r="E46" s="0" t="s">
        <v>1031</v>
      </c>
      <c r="F46" s="0" t="s">
        <v>2280</v>
      </c>
      <c r="G46" s="0" t="s">
        <v>2281</v>
      </c>
      <c r="H46" s="0" t="s">
        <v>2282</v>
      </c>
      <c r="I46" s="0" t="str">
        <f aca="false">HYPERLINK("https://omim.org/entry/601634", "601634")</f>
        <v>601634</v>
      </c>
      <c r="J46" s="0" t="str">
        <f aca="false">HYPERLINK("https://omim.org/entry/114500", "114500")</f>
        <v>114500</v>
      </c>
      <c r="K46" s="0" t="s">
        <v>46</v>
      </c>
      <c r="L46" s="0" t="s">
        <v>46</v>
      </c>
      <c r="M46" s="0" t="s">
        <v>46</v>
      </c>
      <c r="N46" s="0" t="s">
        <v>46</v>
      </c>
      <c r="O46" s="0" t="s">
        <v>46</v>
      </c>
    </row>
    <row r="47" customFormat="false" ht="15" hidden="false" customHeight="false" outlineLevel="0" collapsed="false">
      <c r="A47" s="0" t="s">
        <v>2283</v>
      </c>
      <c r="B47" s="0" t="s">
        <v>809</v>
      </c>
      <c r="C47" s="0" t="s">
        <v>810</v>
      </c>
      <c r="D47" s="0" t="s">
        <v>811</v>
      </c>
      <c r="E47" s="0" t="s">
        <v>812</v>
      </c>
      <c r="F47" s="0" t="s">
        <v>2284</v>
      </c>
      <c r="G47" s="0" t="s">
        <v>2285</v>
      </c>
      <c r="H47" s="0" t="s">
        <v>2286</v>
      </c>
      <c r="I47" s="0" t="str">
        <f aca="false">HYPERLINK("https://omim.org/entry/610725", "610725")</f>
        <v>610725</v>
      </c>
      <c r="J47" s="0" t="s">
        <v>46</v>
      </c>
      <c r="K47" s="0" t="s">
        <v>46</v>
      </c>
      <c r="L47" s="0" t="s">
        <v>46</v>
      </c>
      <c r="M47" s="0" t="s">
        <v>46</v>
      </c>
      <c r="N47" s="0" t="s">
        <v>46</v>
      </c>
      <c r="O47" s="0" t="s">
        <v>46</v>
      </c>
    </row>
    <row r="48" customFormat="false" ht="15" hidden="false" customHeight="false" outlineLevel="0" collapsed="false">
      <c r="A48" s="0" t="s">
        <v>2287</v>
      </c>
      <c r="B48" s="0" t="s">
        <v>695</v>
      </c>
      <c r="C48" s="0" t="s">
        <v>696</v>
      </c>
      <c r="D48" s="0" t="s">
        <v>697</v>
      </c>
      <c r="E48" s="0" t="s">
        <v>698</v>
      </c>
      <c r="F48" s="0" t="s">
        <v>46</v>
      </c>
      <c r="G48" s="0" t="s">
        <v>2288</v>
      </c>
      <c r="H48" s="0" t="s">
        <v>2289</v>
      </c>
      <c r="I48" s="0" t="str">
        <f aca="false">HYPERLINK("https://omim.org/entry/609284", "609284")</f>
        <v>609284</v>
      </c>
      <c r="J48" s="0" t="str">
        <f aca="false">HYPERLINK("https://omim.org/entry/255310", "255310")</f>
        <v>255310</v>
      </c>
      <c r="K48" s="0" t="str">
        <f aca="false">HYPERLINK("https://omim.org/entry/609284", "609284")</f>
        <v>609284</v>
      </c>
      <c r="L48" s="0" t="s">
        <v>46</v>
      </c>
      <c r="M48" s="0" t="s">
        <v>46</v>
      </c>
      <c r="N48" s="0" t="s">
        <v>46</v>
      </c>
      <c r="O48" s="0" t="s">
        <v>46</v>
      </c>
    </row>
    <row r="49" customFormat="false" ht="15" hidden="false" customHeight="false" outlineLevel="0" collapsed="false">
      <c r="A49" s="0" t="s">
        <v>2290</v>
      </c>
      <c r="B49" s="0" t="s">
        <v>625</v>
      </c>
      <c r="C49" s="0" t="s">
        <v>626</v>
      </c>
      <c r="D49" s="0" t="s">
        <v>627</v>
      </c>
      <c r="E49" s="0" t="s">
        <v>628</v>
      </c>
      <c r="F49" s="0" t="s">
        <v>2291</v>
      </c>
      <c r="G49" s="0" t="s">
        <v>2292</v>
      </c>
      <c r="H49" s="0" t="s">
        <v>2293</v>
      </c>
      <c r="I49" s="0" t="str">
        <f aca="false">HYPERLINK("https://omim.org/entry/608446", "608446")</f>
        <v>608446</v>
      </c>
      <c r="J49" s="0" t="s">
        <v>46</v>
      </c>
      <c r="K49" s="0" t="s">
        <v>46</v>
      </c>
      <c r="L49" s="0" t="s">
        <v>46</v>
      </c>
      <c r="M49" s="0" t="s">
        <v>46</v>
      </c>
      <c r="N49" s="0" t="s">
        <v>46</v>
      </c>
      <c r="O49" s="0" t="s">
        <v>46</v>
      </c>
    </row>
    <row r="50" customFormat="false" ht="15" hidden="false" customHeight="false" outlineLevel="0" collapsed="false">
      <c r="A50" s="0" t="s">
        <v>2294</v>
      </c>
      <c r="B50" s="0" t="s">
        <v>1489</v>
      </c>
      <c r="C50" s="0" t="s">
        <v>1490</v>
      </c>
      <c r="D50" s="0" t="s">
        <v>1491</v>
      </c>
      <c r="E50" s="0" t="s">
        <v>1492</v>
      </c>
      <c r="F50" s="0" t="s">
        <v>2295</v>
      </c>
      <c r="G50" s="0" t="s">
        <v>2296</v>
      </c>
      <c r="H50" s="0" t="s">
        <v>2297</v>
      </c>
      <c r="I50" s="0" t="str">
        <f aca="false">HYPERLINK("https://omim.org/entry/616330", "616330")</f>
        <v>616330</v>
      </c>
      <c r="J50" s="0" t="s">
        <v>46</v>
      </c>
      <c r="K50" s="0" t="s">
        <v>46</v>
      </c>
      <c r="L50" s="0" t="s">
        <v>46</v>
      </c>
      <c r="M50" s="0" t="s">
        <v>46</v>
      </c>
      <c r="N50" s="0" t="s">
        <v>46</v>
      </c>
      <c r="O50" s="0" t="s">
        <v>46</v>
      </c>
    </row>
    <row r="51" customFormat="false" ht="15" hidden="false" customHeight="false" outlineLevel="0" collapsed="false">
      <c r="A51" s="0" t="s">
        <v>2298</v>
      </c>
      <c r="B51" s="0" t="s">
        <v>643</v>
      </c>
      <c r="C51" s="0" t="s">
        <v>644</v>
      </c>
      <c r="D51" s="0" t="s">
        <v>645</v>
      </c>
      <c r="E51" s="0" t="s">
        <v>646</v>
      </c>
      <c r="F51" s="0" t="s">
        <v>46</v>
      </c>
      <c r="G51" s="0" t="s">
        <v>46</v>
      </c>
      <c r="H51" s="0" t="s">
        <v>46</v>
      </c>
      <c r="I51" s="0" t="str">
        <f aca="false">HYPERLINK("https://omim.org/entry/616227", "616227")</f>
        <v>616227</v>
      </c>
      <c r="J51" s="0" t="s">
        <v>46</v>
      </c>
      <c r="K51" s="0" t="s">
        <v>46</v>
      </c>
      <c r="L51" s="0" t="s">
        <v>46</v>
      </c>
      <c r="M51" s="0" t="s">
        <v>46</v>
      </c>
      <c r="N51" s="0" t="s">
        <v>46</v>
      </c>
      <c r="O51" s="0" t="s">
        <v>46</v>
      </c>
    </row>
    <row r="52" customFormat="false" ht="15" hidden="false" customHeight="false" outlineLevel="0" collapsed="false">
      <c r="A52" s="0" t="s">
        <v>2299</v>
      </c>
      <c r="B52" s="0" t="s">
        <v>1855</v>
      </c>
      <c r="C52" s="0" t="s">
        <v>1856</v>
      </c>
      <c r="D52" s="0" t="s">
        <v>1857</v>
      </c>
      <c r="E52" s="0" t="s">
        <v>1858</v>
      </c>
      <c r="F52" s="0" t="s">
        <v>2300</v>
      </c>
      <c r="G52" s="0" t="s">
        <v>46</v>
      </c>
      <c r="H52" s="0" t="s">
        <v>46</v>
      </c>
      <c r="I52" s="0" t="str">
        <f aca="false">HYPERLINK("https://omim.org/entry/616052", "616052")</f>
        <v>616052</v>
      </c>
      <c r="J52" s="0" t="s">
        <v>46</v>
      </c>
      <c r="K52" s="0" t="s">
        <v>46</v>
      </c>
      <c r="L52" s="0" t="s">
        <v>46</v>
      </c>
      <c r="M52" s="0" t="s">
        <v>46</v>
      </c>
      <c r="N52" s="0" t="s">
        <v>46</v>
      </c>
      <c r="O52" s="0" t="s">
        <v>46</v>
      </c>
    </row>
    <row r="53" customFormat="false" ht="15" hidden="false" customHeight="false" outlineLevel="0" collapsed="false">
      <c r="A53" s="0" t="s">
        <v>2301</v>
      </c>
      <c r="B53" s="0" t="s">
        <v>1113</v>
      </c>
      <c r="C53" s="0" t="s">
        <v>1114</v>
      </c>
      <c r="D53" s="0" t="s">
        <v>1115</v>
      </c>
      <c r="E53" s="0" t="s">
        <v>1116</v>
      </c>
      <c r="F53" s="0" t="s">
        <v>2302</v>
      </c>
      <c r="G53" s="0" t="s">
        <v>2303</v>
      </c>
      <c r="H53" s="0" t="s">
        <v>2304</v>
      </c>
      <c r="I53" s="0" t="str">
        <f aca="false">HYPERLINK("https://omim.org/entry/259600", "259600")</f>
        <v>259600</v>
      </c>
      <c r="J53" s="0" t="s">
        <v>46</v>
      </c>
      <c r="K53" s="0" t="s">
        <v>46</v>
      </c>
      <c r="L53" s="0" t="s">
        <v>46</v>
      </c>
      <c r="M53" s="0" t="s">
        <v>46</v>
      </c>
      <c r="N53" s="0" t="s">
        <v>46</v>
      </c>
      <c r="O53" s="0" t="s">
        <v>46</v>
      </c>
    </row>
    <row r="54" customFormat="false" ht="15" hidden="false" customHeight="false" outlineLevel="0" collapsed="false">
      <c r="A54" s="0" t="s">
        <v>2305</v>
      </c>
      <c r="B54" s="0" t="s">
        <v>1807</v>
      </c>
      <c r="C54" s="0" t="s">
        <v>1808</v>
      </c>
      <c r="D54" s="0" t="s">
        <v>1809</v>
      </c>
      <c r="E54" s="0" t="s">
        <v>1810</v>
      </c>
      <c r="F54" s="0" t="s">
        <v>46</v>
      </c>
      <c r="G54" s="0" t="s">
        <v>2306</v>
      </c>
      <c r="H54" s="0" t="s">
        <v>2307</v>
      </c>
      <c r="I54" s="0" t="str">
        <f aca="false">HYPERLINK("https://omim.org/entry/601349", "601349")</f>
        <v>601349</v>
      </c>
      <c r="J54" s="0" t="s">
        <v>46</v>
      </c>
      <c r="K54" s="0" t="s">
        <v>46</v>
      </c>
      <c r="L54" s="0" t="s">
        <v>46</v>
      </c>
      <c r="M54" s="0" t="s">
        <v>46</v>
      </c>
      <c r="N54" s="0" t="s">
        <v>46</v>
      </c>
      <c r="O54" s="0" t="s">
        <v>46</v>
      </c>
    </row>
    <row r="55" customFormat="false" ht="15" hidden="false" customHeight="false" outlineLevel="0" collapsed="false">
      <c r="A55" s="0" t="s">
        <v>2308</v>
      </c>
      <c r="B55" s="0" t="s">
        <v>650</v>
      </c>
      <c r="C55" s="0" t="s">
        <v>651</v>
      </c>
      <c r="D55" s="0" t="s">
        <v>652</v>
      </c>
      <c r="E55" s="0" t="s">
        <v>653</v>
      </c>
      <c r="F55" s="0" t="s">
        <v>46</v>
      </c>
      <c r="G55" s="0" t="s">
        <v>2309</v>
      </c>
      <c r="H55" s="0" t="s">
        <v>2310</v>
      </c>
      <c r="I55" s="0" t="str">
        <f aca="false">HYPERLINK("https://omim.org/entry/616402", "616402")</f>
        <v>616402</v>
      </c>
      <c r="J55" s="0" t="s">
        <v>46</v>
      </c>
      <c r="K55" s="0" t="s">
        <v>46</v>
      </c>
      <c r="L55" s="0" t="s">
        <v>46</v>
      </c>
      <c r="M55" s="0" t="s">
        <v>46</v>
      </c>
      <c r="N55" s="0" t="s">
        <v>46</v>
      </c>
      <c r="O55" s="0" t="s">
        <v>46</v>
      </c>
    </row>
    <row r="56" customFormat="false" ht="15" hidden="false" customHeight="false" outlineLevel="0" collapsed="false">
      <c r="A56" s="0" t="s">
        <v>2311</v>
      </c>
      <c r="B56" s="0" t="s">
        <v>241</v>
      </c>
      <c r="C56" s="0" t="s">
        <v>242</v>
      </c>
      <c r="D56" s="0" t="s">
        <v>243</v>
      </c>
      <c r="E56" s="0" t="s">
        <v>244</v>
      </c>
      <c r="F56" s="0" t="s">
        <v>2312</v>
      </c>
      <c r="G56" s="0" t="s">
        <v>2313</v>
      </c>
      <c r="H56" s="0" t="s">
        <v>2314</v>
      </c>
      <c r="I56" s="0" t="str">
        <f aca="false">HYPERLINK("https://omim.org/entry/250800", "250800")</f>
        <v>250800</v>
      </c>
      <c r="J56" s="0" t="s">
        <v>46</v>
      </c>
      <c r="K56" s="0" t="s">
        <v>46</v>
      </c>
      <c r="L56" s="0" t="s">
        <v>46</v>
      </c>
      <c r="M56" s="0" t="s">
        <v>46</v>
      </c>
      <c r="N56" s="0" t="s">
        <v>46</v>
      </c>
      <c r="O56" s="0" t="s">
        <v>46</v>
      </c>
    </row>
    <row r="57" customFormat="false" ht="15" hidden="false" customHeight="false" outlineLevel="0" collapsed="false">
      <c r="A57" s="0" t="s">
        <v>2315</v>
      </c>
      <c r="B57" s="0" t="s">
        <v>1824</v>
      </c>
      <c r="C57" s="0" t="s">
        <v>1825</v>
      </c>
      <c r="D57" s="0" t="s">
        <v>1214</v>
      </c>
      <c r="E57" s="0" t="s">
        <v>1826</v>
      </c>
      <c r="F57" s="0" t="s">
        <v>2316</v>
      </c>
      <c r="G57" s="0" t="s">
        <v>2317</v>
      </c>
      <c r="H57" s="0" t="s">
        <v>2318</v>
      </c>
      <c r="I57" s="0" t="str">
        <f aca="false">HYPERLINK("https://omim.org/entry/607855", "607855")</f>
        <v>607855</v>
      </c>
      <c r="J57" s="0" t="s">
        <v>46</v>
      </c>
      <c r="K57" s="0" t="s">
        <v>46</v>
      </c>
      <c r="L57" s="0" t="s">
        <v>46</v>
      </c>
      <c r="M57" s="0" t="s">
        <v>46</v>
      </c>
      <c r="N57" s="0" t="s">
        <v>46</v>
      </c>
      <c r="O57" s="0" t="s">
        <v>46</v>
      </c>
    </row>
    <row r="58" customFormat="false" ht="15" hidden="false" customHeight="false" outlineLevel="0" collapsed="false">
      <c r="A58" s="0" t="s">
        <v>2319</v>
      </c>
      <c r="B58" s="0" t="s">
        <v>2076</v>
      </c>
      <c r="C58" s="0" t="s">
        <v>2320</v>
      </c>
      <c r="D58" s="0" t="s">
        <v>2078</v>
      </c>
      <c r="E58" s="0" t="s">
        <v>2079</v>
      </c>
      <c r="F58" s="0" t="s">
        <v>46</v>
      </c>
      <c r="G58" s="0" t="s">
        <v>2321</v>
      </c>
      <c r="H58" s="0" t="s">
        <v>2322</v>
      </c>
      <c r="I58" s="0" t="str">
        <f aca="false">HYPERLINK("https://omim.org/entry/300850", "300850")</f>
        <v>300850</v>
      </c>
      <c r="J58" s="0" t="s">
        <v>46</v>
      </c>
      <c r="K58" s="0" t="s">
        <v>46</v>
      </c>
      <c r="L58" s="0" t="s">
        <v>46</v>
      </c>
      <c r="M58" s="0" t="s">
        <v>46</v>
      </c>
      <c r="N58" s="0" t="s">
        <v>46</v>
      </c>
      <c r="O58" s="0" t="s">
        <v>46</v>
      </c>
    </row>
    <row r="59" customFormat="false" ht="15" hidden="false" customHeight="false" outlineLevel="0" collapsed="false">
      <c r="A59" s="0" t="s">
        <v>2323</v>
      </c>
      <c r="B59" s="0" t="s">
        <v>2101</v>
      </c>
      <c r="C59" s="0" t="s">
        <v>2102</v>
      </c>
      <c r="D59" s="0" t="s">
        <v>2103</v>
      </c>
      <c r="E59" s="0" t="s">
        <v>2104</v>
      </c>
      <c r="F59" s="0" t="s">
        <v>2324</v>
      </c>
      <c r="G59" s="0" t="s">
        <v>2325</v>
      </c>
      <c r="H59" s="0" t="s">
        <v>2326</v>
      </c>
      <c r="I59" s="0" t="str">
        <f aca="false">HYPERLINK("https://omim.org/entry/300928", "300928")</f>
        <v>300928</v>
      </c>
      <c r="J59" s="0" t="s">
        <v>46</v>
      </c>
      <c r="K59" s="0" t="s">
        <v>46</v>
      </c>
      <c r="L59" s="0" t="s">
        <v>46</v>
      </c>
      <c r="M59" s="0" t="s">
        <v>46</v>
      </c>
      <c r="N59" s="0" t="s">
        <v>46</v>
      </c>
      <c r="O59" s="0" t="s">
        <v>46</v>
      </c>
    </row>
    <row r="60" customFormat="false" ht="15" hidden="false" customHeight="false" outlineLevel="0" collapsed="false">
      <c r="A60" s="0" t="s">
        <v>2327</v>
      </c>
      <c r="B60" s="0" t="s">
        <v>610</v>
      </c>
      <c r="C60" s="0" t="s">
        <v>611</v>
      </c>
      <c r="D60" s="0" t="s">
        <v>612</v>
      </c>
      <c r="E60" s="0" t="s">
        <v>613</v>
      </c>
      <c r="F60" s="0" t="s">
        <v>2328</v>
      </c>
      <c r="G60" s="0" t="s">
        <v>2329</v>
      </c>
      <c r="H60" s="0" t="s">
        <v>2330</v>
      </c>
      <c r="I60" s="0" t="str">
        <f aca="false">HYPERLINK("https://omim.org/entry/611090", "611090")</f>
        <v>611090</v>
      </c>
      <c r="J60" s="0" t="str">
        <f aca="false">HYPERLINK("https://omim.org/entry/615006", "615006")</f>
        <v>615006</v>
      </c>
      <c r="K60" s="0" t="s">
        <v>46</v>
      </c>
      <c r="L60" s="0" t="s">
        <v>46</v>
      </c>
      <c r="M60" s="0" t="s">
        <v>46</v>
      </c>
      <c r="N60" s="0" t="s">
        <v>46</v>
      </c>
      <c r="O60" s="0" t="s">
        <v>46</v>
      </c>
    </row>
    <row r="61" customFormat="false" ht="15" hidden="false" customHeight="false" outlineLevel="0" collapsed="false">
      <c r="A61" s="0" t="s">
        <v>2331</v>
      </c>
      <c r="B61" s="0" t="s">
        <v>1791</v>
      </c>
      <c r="C61" s="0" t="s">
        <v>1792</v>
      </c>
      <c r="D61" s="0" t="s">
        <v>1793</v>
      </c>
      <c r="E61" s="0" t="s">
        <v>1794</v>
      </c>
      <c r="F61" s="0" t="s">
        <v>46</v>
      </c>
      <c r="G61" s="0" t="s">
        <v>2332</v>
      </c>
      <c r="H61" s="0" t="s">
        <v>2333</v>
      </c>
      <c r="I61" s="0" t="str">
        <f aca="false">HYPERLINK("https://omim.org/entry/612621", "612621")</f>
        <v>612621</v>
      </c>
      <c r="J61" s="0" t="s">
        <v>46</v>
      </c>
      <c r="K61" s="0" t="s">
        <v>46</v>
      </c>
      <c r="L61" s="0" t="s">
        <v>46</v>
      </c>
      <c r="M61" s="0" t="s">
        <v>46</v>
      </c>
      <c r="N61" s="0" t="s">
        <v>46</v>
      </c>
      <c r="O61" s="0" t="s">
        <v>46</v>
      </c>
    </row>
    <row r="62" customFormat="false" ht="15" hidden="false" customHeight="false" outlineLevel="0" collapsed="false">
      <c r="A62" s="0" t="s">
        <v>2334</v>
      </c>
      <c r="B62" s="0" t="s">
        <v>1551</v>
      </c>
      <c r="C62" s="0" t="s">
        <v>1552</v>
      </c>
      <c r="D62" s="0" t="s">
        <v>46</v>
      </c>
      <c r="E62" s="0" t="s">
        <v>1553</v>
      </c>
      <c r="F62" s="0" t="s">
        <v>46</v>
      </c>
      <c r="G62" s="0" t="s">
        <v>2335</v>
      </c>
      <c r="H62" s="0" t="s">
        <v>2336</v>
      </c>
      <c r="I62" s="0" t="str">
        <f aca="false">HYPERLINK("https://omim.org/entry/615761", "615761")</f>
        <v>615761</v>
      </c>
      <c r="J62" s="0" t="s">
        <v>46</v>
      </c>
      <c r="K62" s="0" t="s">
        <v>46</v>
      </c>
      <c r="L62" s="0" t="s">
        <v>46</v>
      </c>
      <c r="M62" s="0" t="s">
        <v>46</v>
      </c>
      <c r="N62" s="0" t="s">
        <v>46</v>
      </c>
      <c r="O62" s="0" t="s">
        <v>46</v>
      </c>
    </row>
    <row r="63" customFormat="false" ht="15" hidden="false" customHeight="false" outlineLevel="0" collapsed="false">
      <c r="A63" s="0" t="s">
        <v>2337</v>
      </c>
      <c r="B63" s="0" t="s">
        <v>1713</v>
      </c>
      <c r="C63" s="0" t="s">
        <v>1714</v>
      </c>
      <c r="D63" s="0" t="s">
        <v>1715</v>
      </c>
      <c r="E63" s="0" t="s">
        <v>1716</v>
      </c>
      <c r="F63" s="0" t="s">
        <v>2338</v>
      </c>
      <c r="G63" s="0" t="s">
        <v>2339</v>
      </c>
      <c r="H63" s="0" t="s">
        <v>2340</v>
      </c>
      <c r="I63" s="0" t="str">
        <f aca="false">HYPERLINK("https://omim.org/entry/613443", "613443")</f>
        <v>613443</v>
      </c>
      <c r="J63" s="0" t="s">
        <v>46</v>
      </c>
      <c r="K63" s="0" t="s">
        <v>46</v>
      </c>
      <c r="L63" s="0" t="s">
        <v>46</v>
      </c>
      <c r="M63" s="0" t="s">
        <v>46</v>
      </c>
      <c r="N63" s="0" t="s">
        <v>46</v>
      </c>
      <c r="O63" s="0" t="s">
        <v>46</v>
      </c>
    </row>
    <row r="64" customFormat="false" ht="15" hidden="false" customHeight="false" outlineLevel="0" collapsed="false">
      <c r="A64" s="0" t="s">
        <v>2341</v>
      </c>
      <c r="B64" s="0" t="s">
        <v>251</v>
      </c>
      <c r="C64" s="0" t="s">
        <v>252</v>
      </c>
      <c r="D64" s="0" t="s">
        <v>253</v>
      </c>
      <c r="E64" s="0" t="s">
        <v>254</v>
      </c>
      <c r="F64" s="0" t="s">
        <v>2342</v>
      </c>
      <c r="G64" s="0" t="s">
        <v>46</v>
      </c>
      <c r="H64" s="0" t="s">
        <v>46</v>
      </c>
      <c r="I64" s="0" t="str">
        <f aca="false">HYPERLINK("https://omim.org/entry/156200", "156200")</f>
        <v>156200</v>
      </c>
      <c r="J64" s="0" t="s">
        <v>46</v>
      </c>
      <c r="K64" s="0" t="s">
        <v>46</v>
      </c>
      <c r="L64" s="0" t="s">
        <v>46</v>
      </c>
      <c r="M64" s="0" t="s">
        <v>46</v>
      </c>
      <c r="N64" s="0" t="s">
        <v>46</v>
      </c>
      <c r="O64" s="0" t="s">
        <v>46</v>
      </c>
    </row>
    <row r="65" customFormat="false" ht="15" hidden="false" customHeight="false" outlineLevel="0" collapsed="false">
      <c r="A65" s="0" t="s">
        <v>2343</v>
      </c>
      <c r="B65" s="0" t="s">
        <v>1694</v>
      </c>
      <c r="C65" s="0" t="s">
        <v>1695</v>
      </c>
      <c r="D65" s="0" t="s">
        <v>1696</v>
      </c>
      <c r="E65" s="0" t="s">
        <v>1697</v>
      </c>
      <c r="F65" s="0" t="s">
        <v>46</v>
      </c>
      <c r="G65" s="0" t="s">
        <v>2344</v>
      </c>
      <c r="H65" s="0" t="s">
        <v>46</v>
      </c>
      <c r="I65" s="0" t="str">
        <f aca="false">HYPERLINK("https://omim.org/entry/248510", "248510")</f>
        <v>248510</v>
      </c>
      <c r="J65" s="0" t="s">
        <v>46</v>
      </c>
      <c r="K65" s="0" t="s">
        <v>46</v>
      </c>
      <c r="L65" s="0" t="s">
        <v>46</v>
      </c>
      <c r="M65" s="0" t="s">
        <v>46</v>
      </c>
      <c r="N65" s="0" t="s">
        <v>46</v>
      </c>
      <c r="O65" s="0" t="s">
        <v>46</v>
      </c>
    </row>
    <row r="66" customFormat="false" ht="15" hidden="false" customHeight="false" outlineLevel="0" collapsed="false">
      <c r="A66" s="0" t="s">
        <v>2345</v>
      </c>
      <c r="B66" s="0" t="s">
        <v>1204</v>
      </c>
      <c r="C66" s="0" t="s">
        <v>1205</v>
      </c>
      <c r="D66" s="0" t="s">
        <v>1206</v>
      </c>
      <c r="E66" s="0" t="s">
        <v>1207</v>
      </c>
      <c r="F66" s="0" t="s">
        <v>2346</v>
      </c>
      <c r="G66" s="0" t="s">
        <v>2347</v>
      </c>
      <c r="H66" s="0" t="s">
        <v>2348</v>
      </c>
      <c r="I66" s="0" t="str">
        <f aca="false">HYPERLINK("https://omim.org/entry/609628", "609628")</f>
        <v>609628</v>
      </c>
      <c r="J66" s="0" t="s">
        <v>46</v>
      </c>
      <c r="K66" s="0" t="s">
        <v>46</v>
      </c>
      <c r="L66" s="0" t="s">
        <v>46</v>
      </c>
      <c r="M66" s="0" t="s">
        <v>46</v>
      </c>
      <c r="N66" s="0" t="s">
        <v>46</v>
      </c>
      <c r="O66" s="0" t="s">
        <v>46</v>
      </c>
    </row>
    <row r="67" customFormat="false" ht="15" hidden="false" customHeight="false" outlineLevel="0" collapsed="false">
      <c r="A67" s="0" t="s">
        <v>2349</v>
      </c>
      <c r="B67" s="0" t="s">
        <v>282</v>
      </c>
      <c r="C67" s="0" t="s">
        <v>283</v>
      </c>
      <c r="D67" s="0" t="s">
        <v>284</v>
      </c>
      <c r="E67" s="0" t="s">
        <v>285</v>
      </c>
      <c r="F67" s="0" t="s">
        <v>2350</v>
      </c>
      <c r="G67" s="0" t="s">
        <v>46</v>
      </c>
      <c r="H67" s="0" t="s">
        <v>46</v>
      </c>
      <c r="I67" s="0" t="str">
        <f aca="false">HYPERLINK("https://omim.org/entry/611488", "611488")</f>
        <v>611488</v>
      </c>
      <c r="J67" s="0" t="s">
        <v>46</v>
      </c>
      <c r="K67" s="0" t="s">
        <v>46</v>
      </c>
      <c r="L67" s="0" t="s">
        <v>46</v>
      </c>
      <c r="M67" s="0" t="s">
        <v>46</v>
      </c>
      <c r="N67" s="0" t="s">
        <v>46</v>
      </c>
      <c r="O67" s="0" t="s">
        <v>46</v>
      </c>
    </row>
    <row r="68" customFormat="false" ht="15" hidden="false" customHeight="false" outlineLevel="0" collapsed="false">
      <c r="A68" s="0" t="s">
        <v>2351</v>
      </c>
      <c r="B68" s="0" t="s">
        <v>1884</v>
      </c>
      <c r="C68" s="0" t="s">
        <v>1885</v>
      </c>
      <c r="D68" s="0" t="s">
        <v>1886</v>
      </c>
      <c r="E68" s="0" t="s">
        <v>1887</v>
      </c>
      <c r="F68" s="0" t="s">
        <v>2352</v>
      </c>
      <c r="G68" s="0" t="s">
        <v>2353</v>
      </c>
      <c r="H68" s="0" t="s">
        <v>2354</v>
      </c>
      <c r="I68" s="0" t="str">
        <f aca="false">HYPERLINK("https://omim.org/entry/257320", "257320")</f>
        <v>257320</v>
      </c>
      <c r="J68" s="0" t="str">
        <f aca="false">HYPERLINK("https://omim.org/entry/616436", "616436")</f>
        <v>616436</v>
      </c>
      <c r="K68" s="0" t="s">
        <v>46</v>
      </c>
      <c r="L68" s="0" t="s">
        <v>46</v>
      </c>
      <c r="M68" s="0" t="s">
        <v>46</v>
      </c>
      <c r="N68" s="0" t="s">
        <v>46</v>
      </c>
      <c r="O68" s="0" t="s">
        <v>46</v>
      </c>
    </row>
    <row r="69" customFormat="false" ht="15" hidden="false" customHeight="false" outlineLevel="0" collapsed="false">
      <c r="A69" s="0" t="s">
        <v>2355</v>
      </c>
      <c r="B69" s="0" t="s">
        <v>377</v>
      </c>
      <c r="C69" s="0" t="s">
        <v>378</v>
      </c>
      <c r="D69" s="0" t="s">
        <v>379</v>
      </c>
      <c r="E69" s="0" t="s">
        <v>380</v>
      </c>
      <c r="F69" s="0" t="s">
        <v>2356</v>
      </c>
      <c r="G69" s="0" t="s">
        <v>46</v>
      </c>
      <c r="H69" s="0" t="s">
        <v>46</v>
      </c>
      <c r="I69" s="0" t="str">
        <f aca="false">HYPERLINK("https://omim.org/entry/607432", "607432")</f>
        <v>607432</v>
      </c>
      <c r="J69" s="0" t="str">
        <f aca="false">HYPERLINK("https://omim.org/entry/607432", "607432")</f>
        <v>607432</v>
      </c>
      <c r="K69" s="0" t="str">
        <f aca="false">HYPERLINK("https://omim.org/entry/247200", "247200")</f>
        <v>247200</v>
      </c>
      <c r="L69" s="0" t="s">
        <v>46</v>
      </c>
      <c r="M69" s="0" t="s">
        <v>46</v>
      </c>
      <c r="N69" s="0" t="s">
        <v>46</v>
      </c>
      <c r="O69" s="0" t="s">
        <v>46</v>
      </c>
    </row>
    <row r="70" customFormat="false" ht="15" hidden="false" customHeight="false" outlineLevel="0" collapsed="false">
      <c r="A70" s="0" t="s">
        <v>2357</v>
      </c>
      <c r="B70" s="0" t="s">
        <v>889</v>
      </c>
      <c r="C70" s="0" t="s">
        <v>890</v>
      </c>
      <c r="D70" s="0" t="s">
        <v>891</v>
      </c>
      <c r="E70" s="0" t="s">
        <v>892</v>
      </c>
      <c r="F70" s="0" t="s">
        <v>2358</v>
      </c>
      <c r="G70" s="0" t="s">
        <v>2359</v>
      </c>
      <c r="H70" s="0" t="s">
        <v>2360</v>
      </c>
      <c r="I70" s="0" t="str">
        <f aca="false">HYPERLINK("https://omim.org/entry/611307", "611307")</f>
        <v>611307</v>
      </c>
      <c r="J70" s="0" t="str">
        <f aca="false">HYPERLINK("https://omim.org/entry/613319", "613319")</f>
        <v>613319</v>
      </c>
      <c r="K70" s="0" t="s">
        <v>46</v>
      </c>
      <c r="L70" s="0" t="s">
        <v>46</v>
      </c>
      <c r="M70" s="0" t="s">
        <v>46</v>
      </c>
      <c r="N70" s="0" t="s">
        <v>46</v>
      </c>
      <c r="O70" s="0" t="s">
        <v>46</v>
      </c>
    </row>
    <row r="71" customFormat="false" ht="15" hidden="false" customHeight="false" outlineLevel="0" collapsed="false">
      <c r="A71" s="0" t="s">
        <v>2361</v>
      </c>
      <c r="B71" s="0" t="s">
        <v>1367</v>
      </c>
      <c r="C71" s="0" t="s">
        <v>1368</v>
      </c>
      <c r="D71" s="0" t="s">
        <v>1369</v>
      </c>
      <c r="E71" s="0" t="s">
        <v>1370</v>
      </c>
      <c r="F71" s="0" t="s">
        <v>2362</v>
      </c>
      <c r="G71" s="0" t="s">
        <v>2363</v>
      </c>
      <c r="H71" s="0" t="s">
        <v>2364</v>
      </c>
      <c r="I71" s="0" t="str">
        <f aca="false">HYPERLINK("https://omim.org/entry/253601", "253601")</f>
        <v>253601</v>
      </c>
      <c r="J71" s="0" t="str">
        <f aca="false">HYPERLINK("https://omim.org/entry/254130", "254130")</f>
        <v>254130</v>
      </c>
      <c r="K71" s="0" t="str">
        <f aca="false">HYPERLINK("https://omim.org/entry/606768", "606768")</f>
        <v>606768</v>
      </c>
      <c r="L71" s="0" t="s">
        <v>46</v>
      </c>
      <c r="M71" s="0" t="s">
        <v>46</v>
      </c>
      <c r="N71" s="0" t="s">
        <v>46</v>
      </c>
      <c r="O71" s="0" t="s">
        <v>46</v>
      </c>
    </row>
    <row r="72" customFormat="false" ht="15" hidden="false" customHeight="false" outlineLevel="0" collapsed="false">
      <c r="A72" s="0" t="s">
        <v>2365</v>
      </c>
      <c r="B72" s="0" t="s">
        <v>1228</v>
      </c>
      <c r="C72" s="0" t="s">
        <v>1229</v>
      </c>
      <c r="D72" s="0" t="s">
        <v>1230</v>
      </c>
      <c r="E72" s="0" t="s">
        <v>1231</v>
      </c>
      <c r="F72" s="0" t="s">
        <v>2366</v>
      </c>
      <c r="G72" s="0" t="s">
        <v>2367</v>
      </c>
      <c r="H72" s="0" t="s">
        <v>2368</v>
      </c>
      <c r="I72" s="0" t="str">
        <f aca="false">HYPERLINK("https://omim.org/entry/615092", "615092")</f>
        <v>615092</v>
      </c>
      <c r="J72" s="0" t="s">
        <v>46</v>
      </c>
      <c r="K72" s="0" t="s">
        <v>46</v>
      </c>
      <c r="L72" s="0" t="s">
        <v>46</v>
      </c>
      <c r="M72" s="0" t="s">
        <v>46</v>
      </c>
      <c r="N72" s="0" t="s">
        <v>46</v>
      </c>
      <c r="O72" s="0" t="s">
        <v>46</v>
      </c>
    </row>
    <row r="73" customFormat="false" ht="15" hidden="false" customHeight="false" outlineLevel="0" collapsed="false">
      <c r="A73" s="0" t="s">
        <v>2369</v>
      </c>
      <c r="B73" s="0" t="s">
        <v>964</v>
      </c>
      <c r="C73" s="0" t="s">
        <v>965</v>
      </c>
      <c r="D73" s="0" t="s">
        <v>966</v>
      </c>
      <c r="E73" s="0" t="s">
        <v>967</v>
      </c>
      <c r="F73" s="0" t="s">
        <v>46</v>
      </c>
      <c r="G73" s="0" t="s">
        <v>2370</v>
      </c>
      <c r="H73" s="0" t="s">
        <v>2371</v>
      </c>
      <c r="I73" s="0" t="str">
        <f aca="false">HYPERLINK("https://omim.org/entry/600231", "600231")</f>
        <v>600231</v>
      </c>
      <c r="J73" s="0" t="s">
        <v>46</v>
      </c>
      <c r="K73" s="0" t="s">
        <v>46</v>
      </c>
      <c r="L73" s="0" t="s">
        <v>46</v>
      </c>
      <c r="M73" s="0" t="s">
        <v>46</v>
      </c>
      <c r="N73" s="0" t="s">
        <v>46</v>
      </c>
      <c r="O73" s="0" t="s">
        <v>46</v>
      </c>
    </row>
    <row r="74" customFormat="false" ht="15" hidden="false" customHeight="false" outlineLevel="0" collapsed="false">
      <c r="A74" s="0" t="s">
        <v>2372</v>
      </c>
      <c r="B74" s="0" t="s">
        <v>46</v>
      </c>
      <c r="C74" s="0" t="s">
        <v>1865</v>
      </c>
      <c r="D74" s="0" t="s">
        <v>1866</v>
      </c>
      <c r="E74" s="0" t="s">
        <v>1867</v>
      </c>
      <c r="F74" s="0" t="s">
        <v>46</v>
      </c>
      <c r="G74" s="0" t="s">
        <v>2373</v>
      </c>
      <c r="H74" s="0" t="s">
        <v>46</v>
      </c>
      <c r="I74" s="0" t="str">
        <f aca="false">HYPERLINK("https://omim.org/entry/244400", "244400")</f>
        <v>244400</v>
      </c>
      <c r="J74" s="0" t="str">
        <f aca="false">HYPERLINK("https://omim.org/entry/611884", "611884")</f>
        <v>611884</v>
      </c>
      <c r="K74" s="0" t="s">
        <v>46</v>
      </c>
      <c r="L74" s="0" t="s">
        <v>46</v>
      </c>
      <c r="M74" s="0" t="s">
        <v>46</v>
      </c>
      <c r="N74" s="0" t="s">
        <v>46</v>
      </c>
      <c r="O74" s="0" t="s">
        <v>46</v>
      </c>
    </row>
    <row r="75" customFormat="false" ht="15" hidden="false" customHeight="false" outlineLevel="0" collapsed="false">
      <c r="A75" s="0" t="s">
        <v>2374</v>
      </c>
      <c r="B75" s="0" t="s">
        <v>1188</v>
      </c>
      <c r="C75" s="0" t="s">
        <v>1189</v>
      </c>
      <c r="D75" s="0" t="s">
        <v>1190</v>
      </c>
      <c r="E75" s="0" t="s">
        <v>1191</v>
      </c>
      <c r="F75" s="0" t="s">
        <v>2375</v>
      </c>
      <c r="G75" s="0" t="s">
        <v>2376</v>
      </c>
      <c r="H75" s="0" t="s">
        <v>2377</v>
      </c>
      <c r="I75" s="0" t="str">
        <f aca="false">HYPERLINK("https://omim.org/entry/601367", "601367")</f>
        <v>601367</v>
      </c>
      <c r="J75" s="0" t="str">
        <f aca="false">HYPERLINK("https://omim.org/entry/267430", "267430")</f>
        <v>267430</v>
      </c>
      <c r="K75" s="0" t="str">
        <f aca="false">HYPERLINK("https://omim.org/entry/612624", "612624")</f>
        <v>612624</v>
      </c>
      <c r="L75" s="0" t="str">
        <f aca="false">HYPERLINK("https://omim.org/entry/614519", "614519")</f>
        <v>614519</v>
      </c>
      <c r="M75" s="0" t="s">
        <v>46</v>
      </c>
      <c r="N75" s="0" t="s">
        <v>46</v>
      </c>
      <c r="O75" s="0" t="s">
        <v>46</v>
      </c>
    </row>
    <row r="76" customFormat="false" ht="15" hidden="false" customHeight="false" outlineLevel="0" collapsed="false">
      <c r="A76" s="0" t="s">
        <v>2378</v>
      </c>
      <c r="B76" s="0" t="s">
        <v>999</v>
      </c>
      <c r="C76" s="0" t="s">
        <v>1000</v>
      </c>
      <c r="D76" s="0" t="s">
        <v>1001</v>
      </c>
      <c r="E76" s="0" t="s">
        <v>1002</v>
      </c>
      <c r="F76" s="0" t="s">
        <v>46</v>
      </c>
      <c r="G76" s="0" t="s">
        <v>2379</v>
      </c>
      <c r="H76" s="0" t="s">
        <v>2380</v>
      </c>
      <c r="I76" s="0" t="str">
        <f aca="false">HYPERLINK("https://omim.org/entry/608747", "608747")</f>
        <v>608747</v>
      </c>
      <c r="J76" s="0" t="s">
        <v>46</v>
      </c>
      <c r="K76" s="0" t="s">
        <v>46</v>
      </c>
      <c r="L76" s="0" t="s">
        <v>46</v>
      </c>
      <c r="M76" s="0" t="s">
        <v>46</v>
      </c>
      <c r="N76" s="0" t="s">
        <v>46</v>
      </c>
      <c r="O76" s="0" t="s">
        <v>46</v>
      </c>
    </row>
    <row r="77" customFormat="false" ht="15" hidden="false" customHeight="false" outlineLevel="0" collapsed="false">
      <c r="A77" s="0" t="s">
        <v>2381</v>
      </c>
      <c r="B77" s="0" t="s">
        <v>1066</v>
      </c>
      <c r="C77" s="0" t="s">
        <v>1067</v>
      </c>
      <c r="D77" s="0" t="s">
        <v>1068</v>
      </c>
      <c r="E77" s="0" t="s">
        <v>1069</v>
      </c>
      <c r="F77" s="0" t="s">
        <v>2382</v>
      </c>
      <c r="G77" s="0" t="s">
        <v>2383</v>
      </c>
      <c r="H77" s="0" t="s">
        <v>2384</v>
      </c>
      <c r="I77" s="0" t="str">
        <f aca="false">HYPERLINK("https://omim.org/entry/270450", "270450")</f>
        <v>270450</v>
      </c>
      <c r="J77" s="0" t="s">
        <v>46</v>
      </c>
      <c r="K77" s="0" t="s">
        <v>46</v>
      </c>
      <c r="L77" s="0" t="s">
        <v>46</v>
      </c>
      <c r="M77" s="0" t="s">
        <v>46</v>
      </c>
      <c r="N77" s="0" t="s">
        <v>46</v>
      </c>
      <c r="O77" s="0" t="s">
        <v>46</v>
      </c>
    </row>
    <row r="78" customFormat="false" ht="15" hidden="false" customHeight="false" outlineLevel="0" collapsed="false">
      <c r="A78" s="0" t="s">
        <v>2385</v>
      </c>
      <c r="B78" s="0" t="s">
        <v>1702</v>
      </c>
      <c r="C78" s="0" t="s">
        <v>1703</v>
      </c>
      <c r="D78" s="0" t="s">
        <v>1704</v>
      </c>
      <c r="E78" s="0" t="s">
        <v>1705</v>
      </c>
      <c r="F78" s="0" t="s">
        <v>2386</v>
      </c>
      <c r="G78" s="0" t="s">
        <v>2387</v>
      </c>
      <c r="H78" s="0" t="s">
        <v>2388</v>
      </c>
      <c r="I78" s="0" t="str">
        <f aca="false">HYPERLINK("https://omim.org/entry/614700", "614700")</f>
        <v>614700</v>
      </c>
      <c r="J78" s="0" t="s">
        <v>46</v>
      </c>
      <c r="K78" s="0" t="s">
        <v>46</v>
      </c>
      <c r="L78" s="0" t="s">
        <v>46</v>
      </c>
      <c r="M78" s="0" t="s">
        <v>46</v>
      </c>
      <c r="N78" s="0" t="s">
        <v>46</v>
      </c>
      <c r="O78" s="0" t="s">
        <v>46</v>
      </c>
    </row>
    <row r="79" customFormat="false" ht="15" hidden="false" customHeight="false" outlineLevel="0" collapsed="false">
      <c r="A79" s="0" t="s">
        <v>2389</v>
      </c>
      <c r="B79" s="0" t="s">
        <v>170</v>
      </c>
      <c r="C79" s="0" t="s">
        <v>171</v>
      </c>
      <c r="D79" s="0" t="s">
        <v>172</v>
      </c>
      <c r="E79" s="0" t="s">
        <v>173</v>
      </c>
      <c r="F79" s="0" t="s">
        <v>2390</v>
      </c>
      <c r="G79" s="0" t="s">
        <v>2391</v>
      </c>
      <c r="H79" s="0" t="s">
        <v>2392</v>
      </c>
      <c r="I79" s="0" t="str">
        <f aca="false">HYPERLINK("https://omim.org/entry/611521", "611521")</f>
        <v>611521</v>
      </c>
      <c r="J79" s="0" t="s">
        <v>46</v>
      </c>
      <c r="K79" s="0" t="s">
        <v>46</v>
      </c>
      <c r="L79" s="0" t="s">
        <v>46</v>
      </c>
      <c r="M79" s="0" t="s">
        <v>46</v>
      </c>
      <c r="N79" s="0" t="s">
        <v>46</v>
      </c>
      <c r="O79" s="0" t="s">
        <v>46</v>
      </c>
    </row>
    <row r="80" customFormat="false" ht="15" hidden="false" customHeight="false" outlineLevel="0" collapsed="false">
      <c r="A80" s="0" t="s">
        <v>2393</v>
      </c>
      <c r="B80" s="0" t="s">
        <v>713</v>
      </c>
      <c r="C80" s="0" t="s">
        <v>714</v>
      </c>
      <c r="D80" s="0" t="s">
        <v>715</v>
      </c>
      <c r="E80" s="0" t="s">
        <v>716</v>
      </c>
      <c r="F80" s="0" t="s">
        <v>2394</v>
      </c>
      <c r="G80" s="0" t="s">
        <v>46</v>
      </c>
      <c r="H80" s="0" t="s">
        <v>46</v>
      </c>
      <c r="I80" s="0" t="str">
        <f aca="false">HYPERLINK("https://omim.org/entry/615707", "615707")</f>
        <v>615707</v>
      </c>
      <c r="J80" s="0" t="s">
        <v>46</v>
      </c>
      <c r="K80" s="0" t="s">
        <v>46</v>
      </c>
      <c r="L80" s="0" t="s">
        <v>46</v>
      </c>
      <c r="M80" s="0" t="s">
        <v>46</v>
      </c>
      <c r="N80" s="0" t="s">
        <v>46</v>
      </c>
      <c r="O80" s="0" t="s">
        <v>46</v>
      </c>
    </row>
    <row r="81" customFormat="false" ht="15" hidden="false" customHeight="false" outlineLevel="0" collapsed="false">
      <c r="A81" s="0" t="s">
        <v>2395</v>
      </c>
      <c r="B81" s="0" t="s">
        <v>1466</v>
      </c>
      <c r="C81" s="0" t="s">
        <v>1467</v>
      </c>
      <c r="D81" s="0" t="s">
        <v>1468</v>
      </c>
      <c r="E81" s="0" t="s">
        <v>1469</v>
      </c>
      <c r="F81" s="0" t="s">
        <v>2396</v>
      </c>
      <c r="G81" s="0" t="s">
        <v>2397</v>
      </c>
      <c r="H81" s="0" t="s">
        <v>2398</v>
      </c>
      <c r="I81" s="0" t="str">
        <f aca="false">HYPERLINK("https://omim.org/entry/601277", "601277")</f>
        <v>601277</v>
      </c>
      <c r="J81" s="0" t="str">
        <f aca="false">HYPERLINK("https://omim.org/entry/242500", "242500")</f>
        <v>242500</v>
      </c>
      <c r="K81" s="0" t="s">
        <v>46</v>
      </c>
      <c r="L81" s="0" t="s">
        <v>46</v>
      </c>
      <c r="M81" s="0" t="s">
        <v>46</v>
      </c>
      <c r="N81" s="0" t="s">
        <v>46</v>
      </c>
      <c r="O81" s="0" t="s">
        <v>46</v>
      </c>
    </row>
    <row r="82" customFormat="false" ht="15" hidden="false" customHeight="false" outlineLevel="0" collapsed="false">
      <c r="A82" s="0" t="s">
        <v>2399</v>
      </c>
      <c r="B82" s="0" t="s">
        <v>1019</v>
      </c>
      <c r="C82" s="0" t="s">
        <v>1020</v>
      </c>
      <c r="D82" s="0" t="s">
        <v>46</v>
      </c>
      <c r="E82" s="0" t="s">
        <v>1021</v>
      </c>
      <c r="F82" s="0" t="s">
        <v>46</v>
      </c>
      <c r="G82" s="0" t="s">
        <v>46</v>
      </c>
      <c r="H82" s="0" t="s">
        <v>46</v>
      </c>
      <c r="I82" s="0" t="str">
        <f aca="false">HYPERLINK("https://omim.org/entry/615885", "615885")</f>
        <v>615885</v>
      </c>
      <c r="J82" s="0" t="s">
        <v>46</v>
      </c>
      <c r="K82" s="0" t="s">
        <v>46</v>
      </c>
      <c r="L82" s="0" t="s">
        <v>46</v>
      </c>
      <c r="M82" s="0" t="s">
        <v>46</v>
      </c>
      <c r="N82" s="0" t="s">
        <v>46</v>
      </c>
      <c r="O82" s="0" t="s">
        <v>46</v>
      </c>
    </row>
    <row r="83" customFormat="false" ht="15" hidden="false" customHeight="false" outlineLevel="0" collapsed="false">
      <c r="A83" s="0" t="s">
        <v>2400</v>
      </c>
      <c r="B83" s="0" t="s">
        <v>1420</v>
      </c>
      <c r="C83" s="0" t="s">
        <v>2401</v>
      </c>
      <c r="D83" s="0" t="s">
        <v>1422</v>
      </c>
      <c r="E83" s="0" t="s">
        <v>1423</v>
      </c>
      <c r="F83" s="0" t="s">
        <v>2402</v>
      </c>
      <c r="G83" s="0" t="s">
        <v>2403</v>
      </c>
      <c r="H83" s="0" t="s">
        <v>2404</v>
      </c>
      <c r="I83" s="0" t="str">
        <f aca="false">HYPERLINK("https://omim.org/entry/218700", "218700")</f>
        <v>218700</v>
      </c>
      <c r="J83" s="0" t="s">
        <v>46</v>
      </c>
      <c r="K83" s="0" t="s">
        <v>46</v>
      </c>
      <c r="L83" s="0" t="s">
        <v>46</v>
      </c>
      <c r="M83" s="0" t="s">
        <v>46</v>
      </c>
      <c r="N83" s="0" t="s">
        <v>46</v>
      </c>
      <c r="O83" s="0" t="s">
        <v>46</v>
      </c>
    </row>
    <row r="84" customFormat="false" ht="15" hidden="false" customHeight="false" outlineLevel="0" collapsed="false">
      <c r="A84" s="0" t="s">
        <v>2405</v>
      </c>
      <c r="B84" s="0" t="s">
        <v>131</v>
      </c>
      <c r="C84" s="0" t="s">
        <v>132</v>
      </c>
      <c r="D84" s="0" t="s">
        <v>133</v>
      </c>
      <c r="E84" s="0" t="s">
        <v>134</v>
      </c>
      <c r="F84" s="0" t="s">
        <v>46</v>
      </c>
      <c r="G84" s="0" t="s">
        <v>2406</v>
      </c>
      <c r="H84" s="0" t="s">
        <v>2407</v>
      </c>
      <c r="I84" s="0" t="str">
        <f aca="false">HYPERLINK("https://omim.org/entry/615558", "615558")</f>
        <v>615558</v>
      </c>
      <c r="J84" s="0" t="str">
        <f aca="false">HYPERLINK("https://omim.org/entry/144010", "144010")</f>
        <v>144010</v>
      </c>
      <c r="K84" s="0" t="s">
        <v>46</v>
      </c>
      <c r="L84" s="0" t="s">
        <v>46</v>
      </c>
      <c r="M84" s="0" t="s">
        <v>46</v>
      </c>
      <c r="N84" s="0" t="s">
        <v>46</v>
      </c>
      <c r="O84" s="0" t="s">
        <v>46</v>
      </c>
    </row>
    <row r="85" customFormat="false" ht="15" hidden="false" customHeight="false" outlineLevel="0" collapsed="false">
      <c r="A85" s="0" t="s">
        <v>2408</v>
      </c>
      <c r="B85" s="0" t="s">
        <v>220</v>
      </c>
      <c r="C85" s="0" t="s">
        <v>221</v>
      </c>
      <c r="D85" s="0" t="s">
        <v>222</v>
      </c>
      <c r="E85" s="0" t="s">
        <v>223</v>
      </c>
      <c r="F85" s="0" t="s">
        <v>46</v>
      </c>
      <c r="G85" s="0" t="s">
        <v>2409</v>
      </c>
      <c r="H85" s="0" t="s">
        <v>46</v>
      </c>
      <c r="I85" s="0" t="str">
        <f aca="false">HYPERLINK("https://omim.org/entry/613752", "613752")</f>
        <v>613752</v>
      </c>
      <c r="J85" s="0" t="s">
        <v>46</v>
      </c>
      <c r="K85" s="0" t="s">
        <v>46</v>
      </c>
      <c r="L85" s="0" t="s">
        <v>46</v>
      </c>
      <c r="M85" s="0" t="s">
        <v>46</v>
      </c>
      <c r="N85" s="0" t="s">
        <v>46</v>
      </c>
      <c r="O85" s="0" t="s">
        <v>46</v>
      </c>
    </row>
    <row r="86" customFormat="false" ht="15" hidden="false" customHeight="false" outlineLevel="0" collapsed="false">
      <c r="A86" s="0" t="s">
        <v>2410</v>
      </c>
      <c r="B86" s="0" t="s">
        <v>531</v>
      </c>
      <c r="C86" s="0" t="s">
        <v>532</v>
      </c>
      <c r="D86" s="0" t="s">
        <v>533</v>
      </c>
      <c r="E86" s="0" t="s">
        <v>534</v>
      </c>
      <c r="F86" s="0" t="s">
        <v>2411</v>
      </c>
      <c r="G86" s="0" t="s">
        <v>2412</v>
      </c>
      <c r="H86" s="0" t="s">
        <v>2413</v>
      </c>
      <c r="I86" s="0" t="str">
        <f aca="false">HYPERLINK("https://omim.org/entry/238700", "238700")</f>
        <v>238700</v>
      </c>
      <c r="J86" s="0" t="str">
        <f aca="false">HYPERLINK("https://omim.org/entry/616034", "616034")</f>
        <v>616034</v>
      </c>
      <c r="K86" s="0" t="s">
        <v>46</v>
      </c>
      <c r="L86" s="0" t="s">
        <v>46</v>
      </c>
      <c r="M86" s="0" t="s">
        <v>46</v>
      </c>
      <c r="N86" s="0" t="s">
        <v>46</v>
      </c>
      <c r="O86" s="0" t="s">
        <v>46</v>
      </c>
    </row>
    <row r="87" customFormat="false" ht="15" hidden="false" customHeight="false" outlineLevel="0" collapsed="false">
      <c r="A87" s="0" t="s">
        <v>2414</v>
      </c>
      <c r="B87" s="0" t="s">
        <v>1169</v>
      </c>
      <c r="C87" s="0" t="s">
        <v>1170</v>
      </c>
      <c r="D87" s="0" t="s">
        <v>1171</v>
      </c>
      <c r="E87" s="0" t="s">
        <v>1172</v>
      </c>
      <c r="F87" s="0" t="s">
        <v>2415</v>
      </c>
      <c r="G87" s="0" t="s">
        <v>2416</v>
      </c>
      <c r="H87" s="0" t="s">
        <v>2417</v>
      </c>
      <c r="I87" s="0" t="str">
        <f aca="false">HYPERLINK("https://omim.org/entry/147060", "147060")</f>
        <v>147060</v>
      </c>
      <c r="J87" s="0" t="str">
        <f aca="false">HYPERLINK("https://omim.org/entry/615952", "615952")</f>
        <v>615952</v>
      </c>
      <c r="K87" s="0" t="s">
        <v>46</v>
      </c>
      <c r="L87" s="0" t="s">
        <v>46</v>
      </c>
      <c r="M87" s="0" t="s">
        <v>46</v>
      </c>
      <c r="N87" s="0" t="s">
        <v>46</v>
      </c>
      <c r="O87" s="0" t="s">
        <v>46</v>
      </c>
    </row>
    <row r="88" customFormat="false" ht="15" hidden="false" customHeight="false" outlineLevel="0" collapsed="false">
      <c r="A88" s="0" t="s">
        <v>2418</v>
      </c>
      <c r="B88" s="0" t="s">
        <v>2419</v>
      </c>
      <c r="C88" s="0" t="s">
        <v>2420</v>
      </c>
      <c r="D88" s="0" t="s">
        <v>2421</v>
      </c>
      <c r="E88" s="0" t="s">
        <v>1344</v>
      </c>
      <c r="F88" s="0" t="s">
        <v>2422</v>
      </c>
      <c r="G88" s="0" t="s">
        <v>2423</v>
      </c>
      <c r="H88" s="0" t="s">
        <v>2424</v>
      </c>
      <c r="I88" s="0" t="str">
        <f aca="false">HYPERLINK("https://omim.org/entry/120435", "120435")</f>
        <v>120435</v>
      </c>
      <c r="J88" s="0" t="str">
        <f aca="false">HYPERLINK("https://omim.org/entry/158320", "158320")</f>
        <v>158320</v>
      </c>
      <c r="K88" s="0" t="str">
        <f aca="false">HYPERLINK("https://omim.org/entry/608089", "608089")</f>
        <v>608089</v>
      </c>
      <c r="L88" s="0" t="s">
        <v>46</v>
      </c>
      <c r="M88" s="0" t="s">
        <v>46</v>
      </c>
      <c r="N88" s="0" t="s">
        <v>46</v>
      </c>
      <c r="O88" s="0" t="s">
        <v>46</v>
      </c>
    </row>
    <row r="89" customFormat="false" ht="15" hidden="false" customHeight="false" outlineLevel="0" collapsed="false">
      <c r="A89" s="0" t="s">
        <v>2425</v>
      </c>
      <c r="B89" s="0" t="s">
        <v>413</v>
      </c>
      <c r="C89" s="0" t="s">
        <v>414</v>
      </c>
      <c r="D89" s="0" t="s">
        <v>415</v>
      </c>
      <c r="E89" s="0" t="s">
        <v>416</v>
      </c>
      <c r="F89" s="0" t="s">
        <v>2426</v>
      </c>
      <c r="G89" s="0" t="s">
        <v>2427</v>
      </c>
      <c r="H89" s="0" t="s">
        <v>2428</v>
      </c>
      <c r="I89" s="0" t="str">
        <f aca="false">HYPERLINK("https://omim.org/entry/603689", "603689")</f>
        <v>603689</v>
      </c>
      <c r="J89" s="0" t="str">
        <f aca="false">HYPERLINK("https://omim.org/entry/613765", "613765")</f>
        <v>613765</v>
      </c>
      <c r="K89" s="0" t="str">
        <f aca="false">HYPERLINK("https://omim.org/entry/604145", "604145")</f>
        <v>604145</v>
      </c>
      <c r="L89" s="0" t="str">
        <f aca="false">HYPERLINK("https://omim.org/entry/600334", "600334")</f>
        <v>600334</v>
      </c>
      <c r="M89" s="0" t="str">
        <f aca="false">HYPERLINK("https://omim.org/entry/608807", "608807")</f>
        <v>608807</v>
      </c>
      <c r="N89" s="0" t="str">
        <f aca="false">HYPERLINK("https://omim.org/entry/611705", "611705")</f>
        <v>611705</v>
      </c>
      <c r="O89" s="0" t="s">
        <v>46</v>
      </c>
    </row>
    <row r="90" customFormat="false" ht="15" hidden="false" customHeight="false" outlineLevel="0" collapsed="false">
      <c r="A90" s="0" t="s">
        <v>2429</v>
      </c>
      <c r="B90" s="0" t="s">
        <v>1483</v>
      </c>
      <c r="C90" s="0" t="s">
        <v>1484</v>
      </c>
      <c r="D90" s="0" t="s">
        <v>1485</v>
      </c>
      <c r="E90" s="0" t="s">
        <v>1486</v>
      </c>
      <c r="F90" s="0" t="s">
        <v>2430</v>
      </c>
      <c r="G90" s="0" t="s">
        <v>2431</v>
      </c>
      <c r="H90" s="0" t="s">
        <v>2432</v>
      </c>
      <c r="I90" s="0" t="str">
        <f aca="false">HYPERLINK("https://omim.org/entry/235550", "235550")</f>
        <v>235550</v>
      </c>
      <c r="J90" s="0" t="s">
        <v>46</v>
      </c>
      <c r="K90" s="0" t="s">
        <v>46</v>
      </c>
      <c r="L90" s="0" t="s">
        <v>46</v>
      </c>
      <c r="M90" s="0" t="s">
        <v>46</v>
      </c>
      <c r="N90" s="0" t="s">
        <v>46</v>
      </c>
      <c r="O90" s="0" t="s">
        <v>46</v>
      </c>
    </row>
    <row r="91" customFormat="false" ht="15" hidden="false" customHeight="false" outlineLevel="0" collapsed="false">
      <c r="A91" s="0" t="s">
        <v>2433</v>
      </c>
      <c r="B91" s="0" t="s">
        <v>2038</v>
      </c>
      <c r="C91" s="0" t="s">
        <v>2039</v>
      </c>
      <c r="D91" s="0" t="s">
        <v>2040</v>
      </c>
      <c r="E91" s="0" t="s">
        <v>2041</v>
      </c>
      <c r="F91" s="0" t="s">
        <v>46</v>
      </c>
      <c r="G91" s="0" t="s">
        <v>2434</v>
      </c>
      <c r="H91" s="0" t="s">
        <v>2435</v>
      </c>
      <c r="I91" s="0" t="str">
        <f aca="false">HYPERLINK("https://omim.org/entry/612631", "612631")</f>
        <v>612631</v>
      </c>
      <c r="J91" s="0" t="s">
        <v>46</v>
      </c>
      <c r="K91" s="0" t="s">
        <v>46</v>
      </c>
      <c r="L91" s="0" t="s">
        <v>46</v>
      </c>
      <c r="M91" s="0" t="s">
        <v>46</v>
      </c>
      <c r="N91" s="0" t="s">
        <v>46</v>
      </c>
      <c r="O91" s="0" t="s">
        <v>46</v>
      </c>
    </row>
    <row r="92" customFormat="false" ht="15" hidden="false" customHeight="false" outlineLevel="0" collapsed="false">
      <c r="A92" s="0" t="s">
        <v>2436</v>
      </c>
      <c r="B92" s="0" t="s">
        <v>66</v>
      </c>
      <c r="C92" s="0" t="s">
        <v>67</v>
      </c>
      <c r="D92" s="0" t="s">
        <v>68</v>
      </c>
      <c r="E92" s="0" t="s">
        <v>69</v>
      </c>
      <c r="F92" s="0" t="s">
        <v>2437</v>
      </c>
      <c r="G92" s="0" t="s">
        <v>46</v>
      </c>
      <c r="H92" s="0" t="s">
        <v>46</v>
      </c>
      <c r="I92" s="0" t="str">
        <f aca="false">HYPERLINK("https://omim.org/entry/175700", "175700")</f>
        <v>175700</v>
      </c>
      <c r="J92" s="0" t="str">
        <f aca="false">HYPERLINK("https://omim.org/entry/146510", "146510")</f>
        <v>146510</v>
      </c>
      <c r="K92" s="0" t="str">
        <f aca="false">HYPERLINK("https://omim.org/entry/174200", "174200")</f>
        <v>174200</v>
      </c>
      <c r="L92" s="0" t="str">
        <f aca="false">HYPERLINK("https://omim.org/entry/174200", "174200")</f>
        <v>174200</v>
      </c>
      <c r="M92" s="0" t="str">
        <f aca="false">HYPERLINK("https://omim.org/entry/174700", "174700")</f>
        <v>174700</v>
      </c>
      <c r="N92" s="0" t="s">
        <v>46</v>
      </c>
      <c r="O92" s="0" t="s">
        <v>46</v>
      </c>
    </row>
    <row r="93" customFormat="false" ht="15" hidden="false" customHeight="false" outlineLevel="0" collapsed="false">
      <c r="A93" s="0" t="s">
        <v>2438</v>
      </c>
      <c r="B93" s="0" t="s">
        <v>2090</v>
      </c>
      <c r="C93" s="0" t="s">
        <v>2091</v>
      </c>
      <c r="D93" s="0" t="s">
        <v>2092</v>
      </c>
      <c r="E93" s="0" t="s">
        <v>2093</v>
      </c>
      <c r="F93" s="0" t="s">
        <v>2439</v>
      </c>
      <c r="G93" s="0" t="s">
        <v>2440</v>
      </c>
      <c r="H93" s="0" t="s">
        <v>46</v>
      </c>
      <c r="I93" s="0" t="str">
        <f aca="false">HYPERLINK("https://omim.org/entry/300559", "300559")</f>
        <v>300559</v>
      </c>
      <c r="J93" s="0" t="s">
        <v>46</v>
      </c>
      <c r="K93" s="0" t="s">
        <v>46</v>
      </c>
      <c r="L93" s="0" t="s">
        <v>46</v>
      </c>
      <c r="M93" s="0" t="s">
        <v>46</v>
      </c>
      <c r="N93" s="0" t="s">
        <v>46</v>
      </c>
      <c r="O93" s="0" t="s">
        <v>46</v>
      </c>
    </row>
    <row r="94" customFormat="false" ht="15" hidden="false" customHeight="false" outlineLevel="0" collapsed="false">
      <c r="A94" s="0" t="s">
        <v>2441</v>
      </c>
      <c r="B94" s="0" t="s">
        <v>1539</v>
      </c>
      <c r="C94" s="0" t="s">
        <v>1540</v>
      </c>
      <c r="D94" s="0" t="s">
        <v>1541</v>
      </c>
      <c r="E94" s="0" t="s">
        <v>1542</v>
      </c>
      <c r="F94" s="0" t="s">
        <v>2442</v>
      </c>
      <c r="G94" s="0" t="s">
        <v>2443</v>
      </c>
      <c r="H94" s="0" t="s">
        <v>46</v>
      </c>
      <c r="I94" s="0" t="str">
        <f aca="false">HYPERLINK("https://omim.org/entry/231950", "231950")</f>
        <v>231950</v>
      </c>
      <c r="J94" s="0" t="s">
        <v>46</v>
      </c>
      <c r="K94" s="0" t="s">
        <v>46</v>
      </c>
      <c r="L94" s="0" t="s">
        <v>46</v>
      </c>
      <c r="M94" s="0" t="s">
        <v>46</v>
      </c>
      <c r="N94" s="0" t="s">
        <v>46</v>
      </c>
      <c r="O94" s="0" t="s">
        <v>46</v>
      </c>
    </row>
    <row r="95" customFormat="false" ht="15" hidden="false" customHeight="false" outlineLevel="0" collapsed="false">
      <c r="A95" s="0" t="s">
        <v>2444</v>
      </c>
      <c r="B95" s="0" t="s">
        <v>271</v>
      </c>
      <c r="C95" s="0" t="s">
        <v>272</v>
      </c>
      <c r="D95" s="0" t="s">
        <v>273</v>
      </c>
      <c r="E95" s="0" t="s">
        <v>274</v>
      </c>
      <c r="F95" s="0" t="s">
        <v>2445</v>
      </c>
      <c r="G95" s="0" t="s">
        <v>2446</v>
      </c>
      <c r="H95" s="0" t="s">
        <v>2447</v>
      </c>
      <c r="I95" s="0" t="str">
        <f aca="false">HYPERLINK("https://omim.org/entry/256850", "256850")</f>
        <v>256850</v>
      </c>
      <c r="J95" s="0" t="s">
        <v>46</v>
      </c>
      <c r="K95" s="0" t="s">
        <v>46</v>
      </c>
      <c r="L95" s="0" t="s">
        <v>46</v>
      </c>
      <c r="M95" s="0" t="s">
        <v>46</v>
      </c>
      <c r="N95" s="0" t="s">
        <v>46</v>
      </c>
      <c r="O95" s="0" t="s">
        <v>46</v>
      </c>
    </row>
    <row r="96" customFormat="false" ht="15" hidden="false" customHeight="false" outlineLevel="0" collapsed="false">
      <c r="A96" s="0" t="s">
        <v>2448</v>
      </c>
      <c r="B96" s="0" t="s">
        <v>1434</v>
      </c>
      <c r="C96" s="0" t="s">
        <v>1435</v>
      </c>
      <c r="D96" s="0" t="s">
        <v>1436</v>
      </c>
      <c r="E96" s="0" t="s">
        <v>1437</v>
      </c>
      <c r="F96" s="0" t="s">
        <v>46</v>
      </c>
      <c r="G96" s="0" t="s">
        <v>2449</v>
      </c>
      <c r="H96" s="0" t="s">
        <v>2450</v>
      </c>
      <c r="I96" s="0" t="str">
        <f aca="false">HYPERLINK("https://omim.org/entry/604403", "604403")</f>
        <v>604403</v>
      </c>
      <c r="J96" s="0" t="str">
        <f aca="false">HYPERLINK("https://omim.org/entry/607208", "607208")</f>
        <v>607208</v>
      </c>
      <c r="K96" s="0" t="str">
        <f aca="false">HYPERLINK("https://omim.org/entry/607208", "607208")</f>
        <v>607208</v>
      </c>
      <c r="L96" s="0" t="str">
        <f aca="false">HYPERLINK("https://omim.org/entry/609634", "609634")</f>
        <v>609634</v>
      </c>
      <c r="M96" s="0" t="str">
        <f aca="false">HYPERLINK("https://omim.org/entry/604403", "604403")</f>
        <v>604403</v>
      </c>
      <c r="N96" s="0" t="s">
        <v>46</v>
      </c>
      <c r="O96" s="0" t="s">
        <v>46</v>
      </c>
    </row>
    <row r="97" customFormat="false" ht="15" hidden="false" customHeight="false" outlineLevel="0" collapsed="false">
      <c r="A97" s="0" t="s">
        <v>2451</v>
      </c>
      <c r="B97" s="0" t="s">
        <v>95</v>
      </c>
      <c r="C97" s="0" t="s">
        <v>96</v>
      </c>
      <c r="D97" s="0" t="s">
        <v>97</v>
      </c>
      <c r="E97" s="0" t="s">
        <v>98</v>
      </c>
      <c r="F97" s="0" t="s">
        <v>2452</v>
      </c>
      <c r="G97" s="0" t="s">
        <v>46</v>
      </c>
      <c r="H97" s="0" t="s">
        <v>46</v>
      </c>
      <c r="I97" s="0" t="str">
        <f aca="false">HYPERLINK("https://omim.org/entry/248200", "248200")</f>
        <v>248200</v>
      </c>
      <c r="J97" s="0" t="str">
        <f aca="false">HYPERLINK("https://omim.org/entry/153800", "153800")</f>
        <v>153800</v>
      </c>
      <c r="K97" s="0" t="str">
        <f aca="false">HYPERLINK("https://omim.org/entry/604116", "604116")</f>
        <v>604116</v>
      </c>
      <c r="L97" s="0" t="str">
        <f aca="false">HYPERLINK("https://omim.org/entry/601718", "601718")</f>
        <v>601718</v>
      </c>
      <c r="M97" s="0" t="s">
        <v>46</v>
      </c>
      <c r="N97" s="0" t="s">
        <v>46</v>
      </c>
      <c r="O97" s="0" t="s">
        <v>46</v>
      </c>
    </row>
    <row r="98" customFormat="false" ht="15" hidden="false" customHeight="false" outlineLevel="0" collapsed="false">
      <c r="A98" s="0" t="s">
        <v>2453</v>
      </c>
      <c r="B98" s="0" t="s">
        <v>1556</v>
      </c>
      <c r="C98" s="0" t="s">
        <v>1557</v>
      </c>
      <c r="D98" s="0" t="s">
        <v>1558</v>
      </c>
      <c r="E98" s="0" t="s">
        <v>1559</v>
      </c>
      <c r="F98" s="0" t="s">
        <v>2454</v>
      </c>
      <c r="G98" s="0" t="s">
        <v>2455</v>
      </c>
      <c r="H98" s="0" t="s">
        <v>2456</v>
      </c>
      <c r="I98" s="0" t="str">
        <f aca="false">HYPERLINK("https://omim.org/entry/227646", "227646")</f>
        <v>227646</v>
      </c>
      <c r="J98" s="0" t="s">
        <v>46</v>
      </c>
      <c r="K98" s="0" t="s">
        <v>46</v>
      </c>
      <c r="L98" s="0" t="s">
        <v>46</v>
      </c>
      <c r="M98" s="0" t="s">
        <v>46</v>
      </c>
      <c r="N98" s="0" t="s">
        <v>46</v>
      </c>
      <c r="O98" s="0" t="s">
        <v>46</v>
      </c>
    </row>
    <row r="99" customFormat="false" ht="15" hidden="false" customHeight="false" outlineLevel="0" collapsed="false">
      <c r="A99" s="0" t="s">
        <v>2457</v>
      </c>
      <c r="B99" s="0" t="s">
        <v>2017</v>
      </c>
      <c r="C99" s="0" t="s">
        <v>2018</v>
      </c>
      <c r="D99" s="0" t="s">
        <v>2019</v>
      </c>
      <c r="E99" s="0" t="s">
        <v>2020</v>
      </c>
      <c r="F99" s="0" t="s">
        <v>2280</v>
      </c>
      <c r="G99" s="0" t="s">
        <v>2458</v>
      </c>
      <c r="H99" s="0" t="s">
        <v>2459</v>
      </c>
      <c r="I99" s="0" t="str">
        <f aca="false">HYPERLINK("https://omim.org/entry/227645", "227645")</f>
        <v>227645</v>
      </c>
      <c r="J99" s="0" t="s">
        <v>46</v>
      </c>
      <c r="K99" s="0" t="s">
        <v>46</v>
      </c>
      <c r="L99" s="0" t="s">
        <v>46</v>
      </c>
      <c r="M99" s="0" t="s">
        <v>46</v>
      </c>
      <c r="N99" s="0" t="s">
        <v>46</v>
      </c>
      <c r="O99" s="0" t="s">
        <v>46</v>
      </c>
    </row>
    <row r="100" customFormat="false" ht="15" hidden="false" customHeight="false" outlineLevel="0" collapsed="false">
      <c r="A100" s="0" t="s">
        <v>2460</v>
      </c>
      <c r="B100" s="0" t="s">
        <v>402</v>
      </c>
      <c r="C100" s="0" t="s">
        <v>403</v>
      </c>
      <c r="D100" s="0" t="s">
        <v>404</v>
      </c>
      <c r="E100" s="0" t="s">
        <v>405</v>
      </c>
      <c r="F100" s="0" t="s">
        <v>46</v>
      </c>
      <c r="G100" s="0" t="s">
        <v>2461</v>
      </c>
      <c r="H100" s="0" t="s">
        <v>2462</v>
      </c>
      <c r="I100" s="0" t="str">
        <f aca="false">HYPERLINK("https://omim.org/entry/158901", "158901")</f>
        <v>158901</v>
      </c>
      <c r="J100" s="0" t="s">
        <v>46</v>
      </c>
      <c r="K100" s="0" t="s">
        <v>46</v>
      </c>
      <c r="L100" s="0" t="s">
        <v>46</v>
      </c>
      <c r="M100" s="0" t="s">
        <v>46</v>
      </c>
      <c r="N100" s="0" t="s">
        <v>46</v>
      </c>
      <c r="O100" s="0" t="s">
        <v>46</v>
      </c>
    </row>
    <row r="101" customFormat="false" ht="15" hidden="false" customHeight="false" outlineLevel="0" collapsed="false">
      <c r="A101" s="0" t="s">
        <v>2463</v>
      </c>
      <c r="B101" s="0" t="s">
        <v>119</v>
      </c>
      <c r="C101" s="0" t="s">
        <v>120</v>
      </c>
      <c r="D101" s="0" t="s">
        <v>46</v>
      </c>
      <c r="E101" s="0" t="s">
        <v>121</v>
      </c>
      <c r="F101" s="0" t="s">
        <v>46</v>
      </c>
      <c r="G101" s="0" t="s">
        <v>2464</v>
      </c>
      <c r="H101" s="0" t="s">
        <v>2465</v>
      </c>
      <c r="I101" s="0" t="str">
        <f aca="false">HYPERLINK("https://omim.org/entry/301500", "301500")</f>
        <v>301500</v>
      </c>
      <c r="J101" s="0" t="s">
        <v>46</v>
      </c>
      <c r="K101" s="0" t="s">
        <v>46</v>
      </c>
      <c r="L101" s="0" t="s">
        <v>46</v>
      </c>
      <c r="M101" s="0" t="s">
        <v>46</v>
      </c>
      <c r="N101" s="0" t="s">
        <v>46</v>
      </c>
      <c r="O101" s="0" t="s">
        <v>46</v>
      </c>
    </row>
    <row r="102" customFormat="false" ht="15" hidden="false" customHeight="false" outlineLevel="0" collapsed="false">
      <c r="A102" s="0" t="s">
        <v>2466</v>
      </c>
      <c r="B102" s="0" t="s">
        <v>2046</v>
      </c>
      <c r="C102" s="0" t="s">
        <v>2467</v>
      </c>
      <c r="D102" s="0" t="s">
        <v>2048</v>
      </c>
      <c r="E102" s="0" t="s">
        <v>2049</v>
      </c>
      <c r="F102" s="0" t="s">
        <v>46</v>
      </c>
      <c r="G102" s="0" t="s">
        <v>2468</v>
      </c>
      <c r="H102" s="0" t="s">
        <v>2469</v>
      </c>
      <c r="I102" s="0" t="str">
        <f aca="false">HYPERLINK("https://omim.org/entry/613477", "613477")</f>
        <v>613477</v>
      </c>
      <c r="J102" s="0" t="s">
        <v>46</v>
      </c>
      <c r="K102" s="0" t="s">
        <v>46</v>
      </c>
      <c r="L102" s="0" t="s">
        <v>46</v>
      </c>
      <c r="M102" s="0" t="s">
        <v>46</v>
      </c>
      <c r="N102" s="0" t="s">
        <v>46</v>
      </c>
      <c r="O102" s="0" t="s">
        <v>46</v>
      </c>
    </row>
    <row r="103" customFormat="false" ht="15" hidden="false" customHeight="false" outlineLevel="0" collapsed="false">
      <c r="A103" s="0" t="s">
        <v>2470</v>
      </c>
      <c r="B103" s="0" t="s">
        <v>1317</v>
      </c>
      <c r="C103" s="0" t="s">
        <v>1318</v>
      </c>
      <c r="D103" s="0" t="s">
        <v>1319</v>
      </c>
      <c r="E103" s="0" t="s">
        <v>1320</v>
      </c>
      <c r="F103" s="0" t="s">
        <v>2471</v>
      </c>
      <c r="G103" s="0" t="s">
        <v>2472</v>
      </c>
      <c r="H103" s="0" t="s">
        <v>2473</v>
      </c>
      <c r="I103" s="0" t="str">
        <f aca="false">HYPERLINK("https://omim.org/entry/160900", "160900")</f>
        <v>160900</v>
      </c>
      <c r="J103" s="0" t="s">
        <v>46</v>
      </c>
      <c r="K103" s="0" t="s">
        <v>46</v>
      </c>
      <c r="L103" s="0" t="s">
        <v>46</v>
      </c>
      <c r="M103" s="0" t="s">
        <v>46</v>
      </c>
      <c r="N103" s="0" t="s">
        <v>46</v>
      </c>
      <c r="O103" s="0" t="s">
        <v>46</v>
      </c>
    </row>
    <row r="104" customFormat="false" ht="15" hidden="false" customHeight="false" outlineLevel="0" collapsed="false">
      <c r="A104" s="0" t="s">
        <v>2474</v>
      </c>
      <c r="B104" s="0" t="s">
        <v>2082</v>
      </c>
      <c r="C104" s="0" t="s">
        <v>2475</v>
      </c>
      <c r="D104" s="0" t="s">
        <v>2084</v>
      </c>
      <c r="E104" s="0" t="s">
        <v>2085</v>
      </c>
      <c r="F104" s="0" t="s">
        <v>46</v>
      </c>
      <c r="G104" s="0" t="s">
        <v>2476</v>
      </c>
      <c r="H104" s="0" t="s">
        <v>2477</v>
      </c>
      <c r="I104" s="0" t="str">
        <f aca="false">HYPERLINK("https://omim.org/entry/314250", "314250")</f>
        <v>314250</v>
      </c>
      <c r="J104" s="0" t="s">
        <v>46</v>
      </c>
      <c r="K104" s="0" t="s">
        <v>46</v>
      </c>
      <c r="L104" s="0" t="s">
        <v>46</v>
      </c>
      <c r="M104" s="0" t="s">
        <v>46</v>
      </c>
      <c r="N104" s="0" t="s">
        <v>46</v>
      </c>
      <c r="O104" s="0" t="s">
        <v>46</v>
      </c>
    </row>
    <row r="105" customFormat="false" ht="15" hidden="false" customHeight="false" outlineLevel="0" collapsed="false">
      <c r="A105" s="0" t="s">
        <v>2478</v>
      </c>
      <c r="B105" s="0" t="s">
        <v>944</v>
      </c>
      <c r="C105" s="0" t="s">
        <v>2479</v>
      </c>
      <c r="D105" s="0" t="s">
        <v>946</v>
      </c>
      <c r="E105" s="0" t="s">
        <v>947</v>
      </c>
      <c r="F105" s="0" t="s">
        <v>46</v>
      </c>
      <c r="G105" s="0" t="s">
        <v>2480</v>
      </c>
      <c r="H105" s="0" t="s">
        <v>2481</v>
      </c>
      <c r="I105" s="0" t="str">
        <f aca="false">HYPERLINK("https://omim.org/entry/614616", "614616")</f>
        <v>614616</v>
      </c>
      <c r="J105" s="0" t="str">
        <f aca="false">HYPERLINK("https://omim.org/entry/614665", "614665")</f>
        <v>614665</v>
      </c>
      <c r="K105" s="0" t="s">
        <v>46</v>
      </c>
      <c r="L105" s="0" t="s">
        <v>46</v>
      </c>
      <c r="M105" s="0" t="s">
        <v>46</v>
      </c>
      <c r="N105" s="0" t="s">
        <v>46</v>
      </c>
      <c r="O105" s="0" t="s">
        <v>46</v>
      </c>
    </row>
    <row r="106" customFormat="false" ht="15" hidden="false" customHeight="false" outlineLevel="0" collapsed="false">
      <c r="A106" s="0" t="s">
        <v>2482</v>
      </c>
      <c r="B106" s="0" t="s">
        <v>1238</v>
      </c>
      <c r="C106" s="0" t="s">
        <v>2483</v>
      </c>
      <c r="D106" s="0" t="s">
        <v>1240</v>
      </c>
      <c r="E106" s="0" t="s">
        <v>1241</v>
      </c>
      <c r="F106" s="0" t="s">
        <v>46</v>
      </c>
      <c r="G106" s="0" t="s">
        <v>2484</v>
      </c>
      <c r="H106" s="0" t="s">
        <v>2485</v>
      </c>
      <c r="I106" s="0" t="str">
        <f aca="false">HYPERLINK("https://omim.org/entry/251850", "251850")</f>
        <v>251850</v>
      </c>
      <c r="J106" s="0" t="s">
        <v>46</v>
      </c>
      <c r="K106" s="0" t="s">
        <v>46</v>
      </c>
      <c r="L106" s="0" t="s">
        <v>46</v>
      </c>
      <c r="M106" s="0" t="s">
        <v>46</v>
      </c>
      <c r="N106" s="0" t="s">
        <v>46</v>
      </c>
      <c r="O106" s="0" t="s">
        <v>46</v>
      </c>
    </row>
    <row r="107" customFormat="false" ht="15" hidden="false" customHeight="false" outlineLevel="0" collapsed="false">
      <c r="A107" s="0" t="s">
        <v>2486</v>
      </c>
      <c r="B107" s="0" t="s">
        <v>1127</v>
      </c>
      <c r="C107" s="0" t="s">
        <v>1128</v>
      </c>
      <c r="D107" s="0" t="s">
        <v>1129</v>
      </c>
      <c r="E107" s="0" t="s">
        <v>1130</v>
      </c>
      <c r="F107" s="0" t="s">
        <v>2487</v>
      </c>
      <c r="G107" s="0" t="s">
        <v>2488</v>
      </c>
      <c r="H107" s="0" t="s">
        <v>2489</v>
      </c>
      <c r="I107" s="0" t="str">
        <f aca="false">HYPERLINK("https://omim.org/entry/194380", "194380")</f>
        <v>194380</v>
      </c>
      <c r="J107" s="0" t="s">
        <v>46</v>
      </c>
      <c r="K107" s="0" t="s">
        <v>46</v>
      </c>
      <c r="L107" s="0" t="s">
        <v>46</v>
      </c>
      <c r="M107" s="0" t="s">
        <v>46</v>
      </c>
      <c r="N107" s="0" t="s">
        <v>46</v>
      </c>
      <c r="O107" s="0" t="s">
        <v>46</v>
      </c>
    </row>
    <row r="108" customFormat="false" ht="15" hidden="false" customHeight="false" outlineLevel="0" collapsed="false">
      <c r="A108" s="0" t="s">
        <v>2490</v>
      </c>
      <c r="B108" s="0" t="s">
        <v>1678</v>
      </c>
      <c r="C108" s="0" t="s">
        <v>1679</v>
      </c>
      <c r="D108" s="0" t="s">
        <v>1680</v>
      </c>
      <c r="E108" s="0" t="s">
        <v>1681</v>
      </c>
      <c r="F108" s="0" t="s">
        <v>2491</v>
      </c>
      <c r="G108" s="0" t="s">
        <v>2492</v>
      </c>
      <c r="H108" s="0" t="s">
        <v>2167</v>
      </c>
      <c r="I108" s="0" t="str">
        <f aca="false">HYPERLINK("https://omim.org/entry/605594", "605594")</f>
        <v>605594</v>
      </c>
      <c r="J108" s="0" t="str">
        <f aca="false">HYPERLINK("https://omim.org/entry/125490", "125490")</f>
        <v>125490</v>
      </c>
      <c r="K108" s="0" t="str">
        <f aca="false">HYPERLINK("https://omim.org/entry/125500", "125500")</f>
        <v>125500</v>
      </c>
      <c r="L108" s="0" t="str">
        <f aca="false">HYPERLINK("https://omim.org/entry/125420", "125420")</f>
        <v>125420</v>
      </c>
      <c r="M108" s="0" t="s">
        <v>46</v>
      </c>
      <c r="N108" s="0" t="s">
        <v>46</v>
      </c>
      <c r="O108" s="0" t="s">
        <v>46</v>
      </c>
    </row>
    <row r="109" customFormat="false" ht="15" hidden="false" customHeight="false" outlineLevel="0" collapsed="false">
      <c r="A109" s="0" t="s">
        <v>2493</v>
      </c>
      <c r="B109" s="0" t="s">
        <v>1984</v>
      </c>
      <c r="C109" s="0" t="s">
        <v>1985</v>
      </c>
      <c r="D109" s="0" t="s">
        <v>1986</v>
      </c>
      <c r="E109" s="0" t="s">
        <v>1987</v>
      </c>
      <c r="F109" s="0" t="s">
        <v>2494</v>
      </c>
      <c r="G109" s="0" t="s">
        <v>2495</v>
      </c>
      <c r="H109" s="0" t="s">
        <v>46</v>
      </c>
      <c r="I109" s="0" t="str">
        <f aca="false">HYPERLINK("https://omim.org/entry/608641", "608641")</f>
        <v>608641</v>
      </c>
      <c r="J109" s="0" t="str">
        <f aca="false">HYPERLINK("https://omim.org/entry/616029", "616029")</f>
        <v>616029</v>
      </c>
      <c r="K109" s="0" t="s">
        <v>46</v>
      </c>
      <c r="L109" s="0" t="s">
        <v>46</v>
      </c>
      <c r="M109" s="0" t="s">
        <v>46</v>
      </c>
      <c r="N109" s="0" t="s">
        <v>46</v>
      </c>
      <c r="O109" s="0" t="s">
        <v>46</v>
      </c>
    </row>
    <row r="110" customFormat="false" ht="15" hidden="false" customHeight="false" outlineLevel="0" collapsed="false">
      <c r="A110" s="0" t="s">
        <v>2496</v>
      </c>
      <c r="B110" s="0" t="s">
        <v>1898</v>
      </c>
      <c r="C110" s="0" t="s">
        <v>1899</v>
      </c>
      <c r="D110" s="0" t="s">
        <v>1900</v>
      </c>
      <c r="E110" s="0" t="s">
        <v>1901</v>
      </c>
      <c r="F110" s="0" t="s">
        <v>2497</v>
      </c>
      <c r="G110" s="0" t="s">
        <v>2498</v>
      </c>
      <c r="H110" s="0" t="s">
        <v>2499</v>
      </c>
      <c r="I110" s="0" t="str">
        <f aca="false">HYPERLINK("https://omim.org/entry/219700", "219700")</f>
        <v>219700</v>
      </c>
      <c r="J110" s="0" t="str">
        <f aca="false">HYPERLINK("https://omim.org/entry/277180", "277180")</f>
        <v>277180</v>
      </c>
      <c r="K110" s="0" t="s">
        <v>46</v>
      </c>
      <c r="L110" s="0" t="s">
        <v>46</v>
      </c>
      <c r="M110" s="0" t="s">
        <v>46</v>
      </c>
      <c r="N110" s="0" t="s">
        <v>46</v>
      </c>
      <c r="O110" s="0" t="s">
        <v>46</v>
      </c>
    </row>
    <row r="111" customFormat="false" ht="15" hidden="false" customHeight="false" outlineLevel="0" collapsed="false">
      <c r="A111" s="0" t="s">
        <v>2500</v>
      </c>
      <c r="B111" s="0" t="s">
        <v>1073</v>
      </c>
      <c r="C111" s="0" t="s">
        <v>1074</v>
      </c>
      <c r="D111" s="0" t="s">
        <v>1075</v>
      </c>
      <c r="E111" s="0" t="s">
        <v>1076</v>
      </c>
      <c r="F111" s="0" t="s">
        <v>2501</v>
      </c>
      <c r="G111" s="0" t="s">
        <v>2502</v>
      </c>
      <c r="H111" s="0" t="s">
        <v>2503</v>
      </c>
      <c r="I111" s="0" t="str">
        <f aca="false">HYPERLINK("https://omim.org/entry/608320", "608320")</f>
        <v>608320</v>
      </c>
      <c r="J111" s="0" t="s">
        <v>46</v>
      </c>
      <c r="K111" s="0" t="s">
        <v>46</v>
      </c>
      <c r="L111" s="0" t="s">
        <v>46</v>
      </c>
      <c r="M111" s="0" t="s">
        <v>46</v>
      </c>
      <c r="N111" s="0" t="s">
        <v>46</v>
      </c>
      <c r="O111" s="0" t="s">
        <v>46</v>
      </c>
    </row>
    <row r="112" customFormat="false" ht="15" hidden="false" customHeight="false" outlineLevel="0" collapsed="false">
      <c r="A112" s="0" t="s">
        <v>2504</v>
      </c>
      <c r="B112" s="0" t="s">
        <v>773</v>
      </c>
      <c r="C112" s="0" t="s">
        <v>774</v>
      </c>
      <c r="D112" s="0" t="s">
        <v>775</v>
      </c>
      <c r="E112" s="0" t="s">
        <v>776</v>
      </c>
      <c r="F112" s="0" t="s">
        <v>2505</v>
      </c>
      <c r="G112" s="0" t="s">
        <v>2506</v>
      </c>
      <c r="H112" s="0" t="s">
        <v>2507</v>
      </c>
      <c r="I112" s="0" t="str">
        <f aca="false">HYPERLINK("https://omim.org/entry/613270", "613270")</f>
        <v>613270</v>
      </c>
      <c r="J112" s="0" t="s">
        <v>46</v>
      </c>
      <c r="K112" s="0" t="s">
        <v>46</v>
      </c>
      <c r="L112" s="0" t="s">
        <v>46</v>
      </c>
      <c r="M112" s="0" t="s">
        <v>46</v>
      </c>
      <c r="N112" s="0" t="s">
        <v>46</v>
      </c>
      <c r="O112" s="0" t="s">
        <v>46</v>
      </c>
    </row>
    <row r="113" customFormat="false" ht="15" hidden="false" customHeight="false" outlineLevel="0" collapsed="false">
      <c r="A113" s="0" t="s">
        <v>2508</v>
      </c>
      <c r="B113" s="0" t="s">
        <v>82</v>
      </c>
      <c r="C113" s="0" t="s">
        <v>83</v>
      </c>
      <c r="D113" s="0" t="s">
        <v>84</v>
      </c>
      <c r="E113" s="0" t="s">
        <v>85</v>
      </c>
      <c r="F113" s="0" t="s">
        <v>2509</v>
      </c>
      <c r="G113" s="0" t="s">
        <v>2510</v>
      </c>
      <c r="H113" s="0" t="s">
        <v>2511</v>
      </c>
      <c r="I113" s="0" t="str">
        <f aca="false">HYPERLINK("https://omim.org/entry/256800", "256800")</f>
        <v>256800</v>
      </c>
      <c r="J113" s="0" t="s">
        <v>46</v>
      </c>
      <c r="K113" s="0" t="s">
        <v>46</v>
      </c>
      <c r="L113" s="0" t="s">
        <v>46</v>
      </c>
      <c r="M113" s="0" t="s">
        <v>46</v>
      </c>
      <c r="N113" s="0" t="s">
        <v>46</v>
      </c>
      <c r="O113" s="0" t="s">
        <v>46</v>
      </c>
    </row>
    <row r="114" customFormat="false" ht="15" hidden="false" customHeight="false" outlineLevel="0" collapsed="false">
      <c r="A114" s="0" t="s">
        <v>2512</v>
      </c>
      <c r="B114" s="0" t="s">
        <v>1769</v>
      </c>
      <c r="C114" s="0" t="s">
        <v>1770</v>
      </c>
      <c r="D114" s="0" t="s">
        <v>46</v>
      </c>
      <c r="E114" s="0" t="s">
        <v>1771</v>
      </c>
      <c r="F114" s="0" t="s">
        <v>46</v>
      </c>
      <c r="G114" s="0" t="s">
        <v>2513</v>
      </c>
      <c r="H114" s="0" t="s">
        <v>2514</v>
      </c>
      <c r="I114" s="0" t="str">
        <f aca="false">HYPERLINK("https://omim.org/entry/615917", "615917")</f>
        <v>615917</v>
      </c>
      <c r="J114" s="0" t="s">
        <v>46</v>
      </c>
      <c r="K114" s="0" t="s">
        <v>46</v>
      </c>
      <c r="L114" s="0" t="s">
        <v>46</v>
      </c>
      <c r="M114" s="0" t="s">
        <v>46</v>
      </c>
      <c r="N114" s="0" t="s">
        <v>46</v>
      </c>
      <c r="O114" s="0" t="s">
        <v>46</v>
      </c>
    </row>
    <row r="115" customFormat="false" ht="15" hidden="false" customHeight="false" outlineLevel="0" collapsed="false">
      <c r="A115" s="0" t="s">
        <v>2515</v>
      </c>
      <c r="B115" s="0" t="s">
        <v>46</v>
      </c>
      <c r="C115" s="0" t="s">
        <v>1121</v>
      </c>
      <c r="D115" s="0" t="s">
        <v>1122</v>
      </c>
      <c r="E115" s="0" t="s">
        <v>1123</v>
      </c>
      <c r="F115" s="0" t="s">
        <v>46</v>
      </c>
      <c r="G115" s="0" t="s">
        <v>2516</v>
      </c>
      <c r="H115" s="0" t="s">
        <v>2517</v>
      </c>
      <c r="I115" s="0" t="str">
        <f aca="false">HYPERLINK("https://omim.org/entry/608647", "608647")</f>
        <v>608647</v>
      </c>
      <c r="J115" s="0" t="s">
        <v>46</v>
      </c>
      <c r="K115" s="0" t="s">
        <v>46</v>
      </c>
      <c r="L115" s="0" t="s">
        <v>46</v>
      </c>
      <c r="M115" s="0" t="s">
        <v>46</v>
      </c>
      <c r="N115" s="0" t="s">
        <v>46</v>
      </c>
      <c r="O115" s="0" t="s">
        <v>46</v>
      </c>
    </row>
    <row r="116" customFormat="false" ht="15" hidden="false" customHeight="false" outlineLevel="0" collapsed="false">
      <c r="A116" s="0" t="s">
        <v>2518</v>
      </c>
      <c r="B116" s="0" t="s">
        <v>1256</v>
      </c>
      <c r="C116" s="0" t="s">
        <v>1257</v>
      </c>
      <c r="D116" s="0" t="s">
        <v>1258</v>
      </c>
      <c r="E116" s="0" t="s">
        <v>1259</v>
      </c>
      <c r="F116" s="0" t="s">
        <v>2519</v>
      </c>
      <c r="G116" s="0" t="s">
        <v>2520</v>
      </c>
      <c r="H116" s="0" t="s">
        <v>2521</v>
      </c>
      <c r="I116" s="0" t="str">
        <f aca="false">HYPERLINK("https://omim.org/entry/243300", "243300")</f>
        <v>243300</v>
      </c>
      <c r="J116" s="0" t="str">
        <f aca="false">HYPERLINK("https://omim.org/entry/147480", "147480")</f>
        <v>147480</v>
      </c>
      <c r="K116" s="0" t="s">
        <v>46</v>
      </c>
      <c r="L116" s="0" t="s">
        <v>46</v>
      </c>
      <c r="M116" s="0" t="s">
        <v>46</v>
      </c>
      <c r="N116" s="0" t="s">
        <v>46</v>
      </c>
      <c r="O116" s="0" t="s">
        <v>46</v>
      </c>
    </row>
    <row r="117" customFormat="false" ht="15" hidden="false" customHeight="false" outlineLevel="0" collapsed="false">
      <c r="A117" s="0" t="s">
        <v>2522</v>
      </c>
      <c r="B117" s="0" t="s">
        <v>230</v>
      </c>
      <c r="C117" s="0" t="s">
        <v>231</v>
      </c>
      <c r="D117" s="0" t="s">
        <v>232</v>
      </c>
      <c r="E117" s="0" t="s">
        <v>233</v>
      </c>
      <c r="F117" s="0" t="s">
        <v>2523</v>
      </c>
      <c r="G117" s="0" t="s">
        <v>2524</v>
      </c>
      <c r="H117" s="0" t="s">
        <v>2525</v>
      </c>
      <c r="I117" s="0" t="str">
        <f aca="false">HYPERLINK("https://omim.org/entry/131300", "131300")</f>
        <v>131300</v>
      </c>
      <c r="J117" s="0" t="s">
        <v>46</v>
      </c>
      <c r="K117" s="0" t="s">
        <v>46</v>
      </c>
      <c r="L117" s="0" t="s">
        <v>46</v>
      </c>
      <c r="M117" s="0" t="s">
        <v>46</v>
      </c>
      <c r="N117" s="0" t="s">
        <v>46</v>
      </c>
      <c r="O117" s="0" t="s">
        <v>46</v>
      </c>
    </row>
    <row r="118" customFormat="false" ht="15" hidden="false" customHeight="false" outlineLevel="0" collapsed="false">
      <c r="A118" s="0" t="s">
        <v>2526</v>
      </c>
      <c r="B118" s="0" t="s">
        <v>761</v>
      </c>
      <c r="C118" s="0" t="s">
        <v>762</v>
      </c>
      <c r="D118" s="0" t="s">
        <v>763</v>
      </c>
      <c r="E118" s="0" t="s">
        <v>764</v>
      </c>
      <c r="F118" s="0" t="s">
        <v>2527</v>
      </c>
      <c r="G118" s="0" t="s">
        <v>2528</v>
      </c>
      <c r="H118" s="0" t="s">
        <v>2529</v>
      </c>
      <c r="I118" s="0" t="str">
        <f aca="false">HYPERLINK("https://omim.org/entry/611876", "611876")</f>
        <v>611876</v>
      </c>
      <c r="J118" s="0" t="s">
        <v>46</v>
      </c>
      <c r="K118" s="0" t="s">
        <v>46</v>
      </c>
      <c r="L118" s="0" t="s">
        <v>46</v>
      </c>
      <c r="M118" s="0" t="s">
        <v>46</v>
      </c>
      <c r="N118" s="0" t="s">
        <v>46</v>
      </c>
      <c r="O118" s="0" t="s">
        <v>46</v>
      </c>
    </row>
    <row r="119" customFormat="false" ht="15" hidden="false" customHeight="false" outlineLevel="0" collapsed="false">
      <c r="A119" s="0" t="s">
        <v>2530</v>
      </c>
      <c r="B119" s="0" t="s">
        <v>951</v>
      </c>
      <c r="C119" s="0" t="s">
        <v>952</v>
      </c>
      <c r="D119" s="0" t="s">
        <v>953</v>
      </c>
      <c r="E119" s="0" t="s">
        <v>954</v>
      </c>
      <c r="F119" s="0" t="s">
        <v>2531</v>
      </c>
      <c r="G119" s="0" t="s">
        <v>2532</v>
      </c>
      <c r="H119" s="0" t="s">
        <v>2533</v>
      </c>
      <c r="I119" s="0" t="str">
        <f aca="false">HYPERLINK("https://omim.org/entry/613382", "613382")</f>
        <v>613382</v>
      </c>
      <c r="J119" s="0" t="s">
        <v>46</v>
      </c>
      <c r="K119" s="0" t="s">
        <v>46</v>
      </c>
      <c r="L119" s="0" t="s">
        <v>46</v>
      </c>
      <c r="M119" s="0" t="s">
        <v>46</v>
      </c>
      <c r="N119" s="0" t="s">
        <v>46</v>
      </c>
      <c r="O119" s="0" t="s">
        <v>46</v>
      </c>
    </row>
    <row r="120" customFormat="false" ht="15" hidden="false" customHeight="false" outlineLevel="0" collapsed="false">
      <c r="A120" s="0" t="s">
        <v>2534</v>
      </c>
      <c r="B120" s="0" t="s">
        <v>904</v>
      </c>
      <c r="C120" s="0" t="s">
        <v>905</v>
      </c>
      <c r="D120" s="0" t="s">
        <v>906</v>
      </c>
      <c r="E120" s="0" t="s">
        <v>907</v>
      </c>
      <c r="F120" s="0" t="s">
        <v>2535</v>
      </c>
      <c r="G120" s="0" t="s">
        <v>2536</v>
      </c>
      <c r="H120" s="0" t="s">
        <v>2537</v>
      </c>
      <c r="I120" s="0" t="str">
        <f aca="false">HYPERLINK("https://omim.org/entry/208900", "208900")</f>
        <v>208900</v>
      </c>
      <c r="J120" s="0" t="s">
        <v>46</v>
      </c>
      <c r="K120" s="0" t="s">
        <v>46</v>
      </c>
      <c r="L120" s="0" t="s">
        <v>46</v>
      </c>
      <c r="M120" s="0" t="s">
        <v>46</v>
      </c>
      <c r="N120" s="0" t="s">
        <v>46</v>
      </c>
      <c r="O120" s="0" t="s">
        <v>46</v>
      </c>
    </row>
    <row r="121" customFormat="false" ht="15" hidden="false" customHeight="false" outlineLevel="0" collapsed="false">
      <c r="A121" s="0" t="s">
        <v>2538</v>
      </c>
      <c r="B121" s="0" t="s">
        <v>734</v>
      </c>
      <c r="C121" s="0" t="s">
        <v>735</v>
      </c>
      <c r="D121" s="0" t="s">
        <v>736</v>
      </c>
      <c r="E121" s="0" t="s">
        <v>737</v>
      </c>
      <c r="F121" s="0" t="s">
        <v>2539</v>
      </c>
      <c r="G121" s="0" t="s">
        <v>2540</v>
      </c>
      <c r="H121" s="0" t="s">
        <v>2541</v>
      </c>
      <c r="I121" s="0" t="str">
        <f aca="false">HYPERLINK("https://omim.org/entry/600996", "600996")</f>
        <v>600996</v>
      </c>
      <c r="J121" s="0" t="str">
        <f aca="false">HYPERLINK("https://omim.org/entry/604772", "604772")</f>
        <v>604772</v>
      </c>
      <c r="K121" s="0" t="s">
        <v>46</v>
      </c>
      <c r="L121" s="0" t="s">
        <v>46</v>
      </c>
      <c r="M121" s="0" t="s">
        <v>46</v>
      </c>
      <c r="N121" s="0" t="s">
        <v>46</v>
      </c>
      <c r="O121" s="0" t="s">
        <v>46</v>
      </c>
    </row>
    <row r="122" customFormat="false" ht="15" hidden="false" customHeight="false" outlineLevel="0" collapsed="false">
      <c r="A122" s="0" t="s">
        <v>2542</v>
      </c>
      <c r="B122" s="0" t="s">
        <v>301</v>
      </c>
      <c r="C122" s="0" t="s">
        <v>302</v>
      </c>
      <c r="D122" s="0" t="s">
        <v>46</v>
      </c>
      <c r="E122" s="0" t="s">
        <v>303</v>
      </c>
      <c r="F122" s="0" t="s">
        <v>46</v>
      </c>
      <c r="G122" s="0" t="s">
        <v>2543</v>
      </c>
      <c r="H122" s="0" t="s">
        <v>2544</v>
      </c>
      <c r="I122" s="0" t="str">
        <f aca="false">HYPERLINK("https://omim.org/entry/207900", "207900")</f>
        <v>207900</v>
      </c>
      <c r="J122" s="0" t="s">
        <v>46</v>
      </c>
      <c r="K122" s="0" t="s">
        <v>46</v>
      </c>
      <c r="L122" s="0" t="s">
        <v>46</v>
      </c>
      <c r="M122" s="0" t="s">
        <v>46</v>
      </c>
      <c r="N122" s="0" t="s">
        <v>46</v>
      </c>
      <c r="O122" s="0" t="s">
        <v>46</v>
      </c>
    </row>
    <row r="123" customFormat="false" ht="15" hidden="false" customHeight="false" outlineLevel="0" collapsed="false">
      <c r="A123" s="0" t="s">
        <v>2545</v>
      </c>
      <c r="B123" s="0" t="s">
        <v>368</v>
      </c>
      <c r="C123" s="0" t="s">
        <v>369</v>
      </c>
      <c r="D123" s="0" t="s">
        <v>370</v>
      </c>
      <c r="E123" s="0" t="s">
        <v>371</v>
      </c>
      <c r="F123" s="0" t="s">
        <v>2546</v>
      </c>
      <c r="G123" s="0" t="s">
        <v>2547</v>
      </c>
      <c r="H123" s="0" t="s">
        <v>2548</v>
      </c>
      <c r="I123" s="0" t="str">
        <f aca="false">HYPERLINK("https://omim.org/entry/218000", "218000")</f>
        <v>218000</v>
      </c>
      <c r="J123" s="0" t="s">
        <v>46</v>
      </c>
      <c r="K123" s="0" t="s">
        <v>46</v>
      </c>
      <c r="L123" s="0" t="s">
        <v>46</v>
      </c>
      <c r="M123" s="0" t="s">
        <v>46</v>
      </c>
      <c r="N123" s="0" t="s">
        <v>46</v>
      </c>
      <c r="O123" s="0" t="s">
        <v>46</v>
      </c>
    </row>
    <row r="124" customFormat="false" ht="15" hidden="false" customHeight="false" outlineLevel="0" collapsed="false">
      <c r="A124" s="0" t="s">
        <v>2549</v>
      </c>
      <c r="B124" s="0" t="s">
        <v>2115</v>
      </c>
      <c r="C124" s="0" t="s">
        <v>2116</v>
      </c>
      <c r="D124" s="0" t="s">
        <v>2117</v>
      </c>
      <c r="E124" s="0" t="s">
        <v>2118</v>
      </c>
      <c r="F124" s="0" t="s">
        <v>46</v>
      </c>
      <c r="G124" s="0" t="s">
        <v>2550</v>
      </c>
      <c r="H124" s="0" t="s">
        <v>2156</v>
      </c>
      <c r="I124" s="0" t="str">
        <f aca="false">HYPERLINK("https://omim.org/entry/300100", "300100")</f>
        <v>300100</v>
      </c>
      <c r="J124" s="0" t="s">
        <v>46</v>
      </c>
      <c r="K124" s="0" t="s">
        <v>46</v>
      </c>
      <c r="L124" s="0" t="s">
        <v>46</v>
      </c>
      <c r="M124" s="0" t="s">
        <v>46</v>
      </c>
      <c r="N124" s="0" t="s">
        <v>46</v>
      </c>
      <c r="O124" s="0" t="s">
        <v>46</v>
      </c>
    </row>
    <row r="125" customFormat="false" ht="15" hidden="false" customHeight="false" outlineLevel="0" collapsed="false">
      <c r="A125" s="1" t="s">
        <v>2551</v>
      </c>
      <c r="B125" s="1" t="s">
        <v>30</v>
      </c>
      <c r="C125" s="1" t="s">
        <v>31</v>
      </c>
      <c r="D125" s="1" t="s">
        <v>32</v>
      </c>
      <c r="E125" s="1" t="s">
        <v>33</v>
      </c>
      <c r="F125" s="1" t="s">
        <v>2552</v>
      </c>
      <c r="G125" s="1" t="s">
        <v>2553</v>
      </c>
      <c r="H125" s="1" t="s">
        <v>2554</v>
      </c>
      <c r="I125" s="1" t="s">
        <v>2555</v>
      </c>
      <c r="J125" s="1" t="s">
        <v>2556</v>
      </c>
      <c r="K125" s="1" t="s">
        <v>2557</v>
      </c>
      <c r="L125" s="1" t="s">
        <v>2558</v>
      </c>
      <c r="M125" s="1" t="s">
        <v>2559</v>
      </c>
      <c r="N125" s="1" t="s">
        <v>2560</v>
      </c>
      <c r="O125" s="1" t="s">
        <v>2561</v>
      </c>
    </row>
    <row r="126" customFormat="false" ht="15" hidden="false" customHeight="false" outlineLevel="0" collapsed="false">
      <c r="A126" s="0" t="s">
        <v>2562</v>
      </c>
      <c r="B126" s="0" t="s">
        <v>931</v>
      </c>
      <c r="C126" s="0" t="s">
        <v>932</v>
      </c>
      <c r="D126" s="0" t="s">
        <v>933</v>
      </c>
      <c r="E126" s="0" t="s">
        <v>46</v>
      </c>
      <c r="F126" s="0" t="s">
        <v>2563</v>
      </c>
      <c r="G126" s="0" t="s">
        <v>2564</v>
      </c>
      <c r="H126" s="0" t="s">
        <v>2565</v>
      </c>
      <c r="I126" s="0" t="s">
        <v>46</v>
      </c>
      <c r="J126" s="0" t="s">
        <v>46</v>
      </c>
      <c r="K126" s="0" t="s">
        <v>46</v>
      </c>
      <c r="L126" s="0" t="s">
        <v>46</v>
      </c>
      <c r="M126" s="0" t="s">
        <v>46</v>
      </c>
      <c r="N126" s="0" t="s">
        <v>46</v>
      </c>
      <c r="O126" s="0" t="s">
        <v>46</v>
      </c>
    </row>
    <row r="127" customFormat="false" ht="15" hidden="false" customHeight="false" outlineLevel="0" collapsed="false">
      <c r="A127" s="0" t="s">
        <v>2566</v>
      </c>
      <c r="B127" s="0" t="s">
        <v>975</v>
      </c>
      <c r="C127" s="0" t="s">
        <v>976</v>
      </c>
      <c r="D127" s="0" t="s">
        <v>977</v>
      </c>
      <c r="E127" s="0" t="s">
        <v>46</v>
      </c>
      <c r="F127" s="0" t="s">
        <v>2567</v>
      </c>
      <c r="G127" s="0" t="s">
        <v>2568</v>
      </c>
      <c r="H127" s="0" t="s">
        <v>46</v>
      </c>
      <c r="I127" s="0" t="s">
        <v>46</v>
      </c>
      <c r="J127" s="0" t="s">
        <v>46</v>
      </c>
      <c r="K127" s="0" t="s">
        <v>46</v>
      </c>
      <c r="L127" s="0" t="s">
        <v>46</v>
      </c>
      <c r="M127" s="0" t="s">
        <v>46</v>
      </c>
      <c r="N127" s="0" t="s">
        <v>46</v>
      </c>
      <c r="O127" s="0" t="s">
        <v>46</v>
      </c>
    </row>
    <row r="128" customFormat="false" ht="15" hidden="false" customHeight="false" outlineLevel="0" collapsed="false">
      <c r="A128" s="0" t="s">
        <v>2569</v>
      </c>
      <c r="B128" s="0" t="s">
        <v>1861</v>
      </c>
      <c r="C128" s="0" t="s">
        <v>1862</v>
      </c>
      <c r="D128" s="0" t="s">
        <v>1863</v>
      </c>
      <c r="E128" s="0" t="s">
        <v>46</v>
      </c>
      <c r="F128" s="0" t="s">
        <v>2570</v>
      </c>
      <c r="G128" s="0" t="s">
        <v>2571</v>
      </c>
      <c r="H128" s="0" t="s">
        <v>2572</v>
      </c>
      <c r="I128" s="0" t="s">
        <v>46</v>
      </c>
      <c r="J128" s="0" t="s">
        <v>46</v>
      </c>
      <c r="K128" s="0" t="s">
        <v>46</v>
      </c>
      <c r="L128" s="0" t="s">
        <v>46</v>
      </c>
      <c r="M128" s="0" t="s">
        <v>46</v>
      </c>
      <c r="N128" s="0" t="s">
        <v>46</v>
      </c>
      <c r="O128" s="0" t="s">
        <v>46</v>
      </c>
    </row>
    <row r="129" customFormat="false" ht="15" hidden="false" customHeight="false" outlineLevel="0" collapsed="false">
      <c r="A129" s="0" t="s">
        <v>2573</v>
      </c>
      <c r="B129" s="0" t="s">
        <v>2574</v>
      </c>
      <c r="C129" s="0" t="s">
        <v>2575</v>
      </c>
      <c r="D129" s="0" t="s">
        <v>389</v>
      </c>
      <c r="E129" s="0" t="s">
        <v>46</v>
      </c>
      <c r="F129" s="0" t="s">
        <v>2576</v>
      </c>
      <c r="G129" s="0" t="s">
        <v>2577</v>
      </c>
      <c r="H129" s="0" t="s">
        <v>2578</v>
      </c>
      <c r="I129" s="0" t="s">
        <v>46</v>
      </c>
      <c r="J129" s="0" t="s">
        <v>46</v>
      </c>
      <c r="K129" s="0" t="s">
        <v>46</v>
      </c>
      <c r="L129" s="0" t="s">
        <v>46</v>
      </c>
      <c r="M129" s="0" t="s">
        <v>46</v>
      </c>
      <c r="N129" s="0" t="s">
        <v>46</v>
      </c>
      <c r="O129" s="0" t="s">
        <v>46</v>
      </c>
    </row>
    <row r="130" customFormat="false" ht="15" hidden="false" customHeight="false" outlineLevel="0" collapsed="false">
      <c r="A130" s="0" t="s">
        <v>2579</v>
      </c>
      <c r="B130" s="0" t="s">
        <v>46</v>
      </c>
      <c r="C130" s="0" t="s">
        <v>632</v>
      </c>
      <c r="D130" s="0" t="s">
        <v>633</v>
      </c>
      <c r="E130" s="0" t="s">
        <v>46</v>
      </c>
      <c r="F130" s="0" t="s">
        <v>2580</v>
      </c>
      <c r="G130" s="0" t="s">
        <v>46</v>
      </c>
      <c r="H130" s="0" t="s">
        <v>46</v>
      </c>
      <c r="I130" s="0" t="s">
        <v>46</v>
      </c>
      <c r="J130" s="0" t="s">
        <v>46</v>
      </c>
      <c r="K130" s="0" t="s">
        <v>46</v>
      </c>
      <c r="L130" s="0" t="s">
        <v>46</v>
      </c>
      <c r="M130" s="0" t="s">
        <v>46</v>
      </c>
      <c r="N130" s="0" t="s">
        <v>46</v>
      </c>
      <c r="O130" s="0" t="s">
        <v>46</v>
      </c>
    </row>
    <row r="131" customFormat="false" ht="15" hidden="false" customHeight="false" outlineLevel="0" collapsed="false">
      <c r="A131" s="0" t="s">
        <v>2581</v>
      </c>
      <c r="B131" s="0" t="s">
        <v>473</v>
      </c>
      <c r="C131" s="0" t="s">
        <v>474</v>
      </c>
      <c r="D131" s="0" t="s">
        <v>475</v>
      </c>
      <c r="E131" s="0" t="s">
        <v>46</v>
      </c>
      <c r="F131" s="0" t="s">
        <v>46</v>
      </c>
      <c r="G131" s="0" t="s">
        <v>2582</v>
      </c>
      <c r="H131" s="0" t="s">
        <v>2583</v>
      </c>
      <c r="I131" s="0" t="s">
        <v>46</v>
      </c>
      <c r="J131" s="0" t="s">
        <v>46</v>
      </c>
      <c r="K131" s="0" t="s">
        <v>46</v>
      </c>
      <c r="L131" s="0" t="s">
        <v>46</v>
      </c>
      <c r="M131" s="0" t="s">
        <v>46</v>
      </c>
      <c r="N131" s="0" t="s">
        <v>46</v>
      </c>
      <c r="O131" s="0" t="s">
        <v>46</v>
      </c>
    </row>
    <row r="132" customFormat="false" ht="15" hidden="false" customHeight="false" outlineLevel="0" collapsed="false">
      <c r="A132" s="0" t="s">
        <v>2584</v>
      </c>
      <c r="B132" s="0" t="s">
        <v>1812</v>
      </c>
      <c r="C132" s="0" t="s">
        <v>1813</v>
      </c>
      <c r="D132" s="0" t="s">
        <v>1814</v>
      </c>
      <c r="E132" s="0" t="s">
        <v>46</v>
      </c>
      <c r="F132" s="0" t="s">
        <v>46</v>
      </c>
      <c r="G132" s="0" t="s">
        <v>46</v>
      </c>
      <c r="H132" s="0" t="s">
        <v>46</v>
      </c>
      <c r="I132" s="0" t="s">
        <v>46</v>
      </c>
      <c r="J132" s="0" t="s">
        <v>46</v>
      </c>
      <c r="K132" s="0" t="s">
        <v>46</v>
      </c>
      <c r="L132" s="0" t="s">
        <v>46</v>
      </c>
      <c r="M132" s="0" t="s">
        <v>46</v>
      </c>
      <c r="N132" s="0" t="s">
        <v>46</v>
      </c>
      <c r="O132" s="0" t="s">
        <v>46</v>
      </c>
    </row>
    <row r="133" customFormat="false" ht="15" hidden="false" customHeight="false" outlineLevel="0" collapsed="false">
      <c r="A133" s="0" t="s">
        <v>2585</v>
      </c>
      <c r="B133" s="0" t="s">
        <v>1300</v>
      </c>
      <c r="C133" s="0" t="s">
        <v>1301</v>
      </c>
      <c r="D133" s="0" t="s">
        <v>1302</v>
      </c>
      <c r="E133" s="0" t="s">
        <v>46</v>
      </c>
      <c r="F133" s="0" t="s">
        <v>46</v>
      </c>
      <c r="G133" s="0" t="s">
        <v>2586</v>
      </c>
      <c r="H133" s="0" t="s">
        <v>46</v>
      </c>
      <c r="I133" s="0" t="s">
        <v>46</v>
      </c>
      <c r="J133" s="0" t="s">
        <v>46</v>
      </c>
      <c r="K133" s="0" t="s">
        <v>46</v>
      </c>
      <c r="L133" s="0" t="s">
        <v>46</v>
      </c>
      <c r="M133" s="0" t="s">
        <v>46</v>
      </c>
      <c r="N133" s="0" t="s">
        <v>46</v>
      </c>
      <c r="O133" s="0" t="s">
        <v>46</v>
      </c>
    </row>
    <row r="134" customFormat="false" ht="15" hidden="false" customHeight="false" outlineLevel="0" collapsed="false">
      <c r="A134" s="0" t="s">
        <v>2587</v>
      </c>
      <c r="B134" s="0" t="s">
        <v>434</v>
      </c>
      <c r="C134" s="0" t="s">
        <v>435</v>
      </c>
      <c r="D134" s="0" t="s">
        <v>46</v>
      </c>
      <c r="E134" s="0" t="s">
        <v>46</v>
      </c>
      <c r="F134" s="0" t="s">
        <v>2588</v>
      </c>
      <c r="G134" s="0" t="s">
        <v>2589</v>
      </c>
      <c r="H134" s="0" t="s">
        <v>2590</v>
      </c>
      <c r="I134" s="0" t="s">
        <v>46</v>
      </c>
      <c r="J134" s="0" t="s">
        <v>46</v>
      </c>
      <c r="K134" s="0" t="s">
        <v>46</v>
      </c>
      <c r="L134" s="0" t="s">
        <v>46</v>
      </c>
      <c r="M134" s="0" t="s">
        <v>46</v>
      </c>
      <c r="N134" s="0" t="s">
        <v>46</v>
      </c>
      <c r="O134" s="0" t="s">
        <v>46</v>
      </c>
    </row>
    <row r="135" customFormat="false" ht="15" hidden="false" customHeight="false" outlineLevel="0" collapsed="false">
      <c r="A135" s="0" t="s">
        <v>2591</v>
      </c>
      <c r="B135" s="0" t="s">
        <v>46</v>
      </c>
      <c r="C135" s="0" t="s">
        <v>1426</v>
      </c>
      <c r="D135" s="0" t="s">
        <v>46</v>
      </c>
      <c r="E135" s="0" t="s">
        <v>46</v>
      </c>
      <c r="F135" s="0" t="s">
        <v>46</v>
      </c>
      <c r="G135" s="0" t="s">
        <v>2592</v>
      </c>
      <c r="H135" s="0" t="s">
        <v>46</v>
      </c>
      <c r="I135" s="0" t="s">
        <v>46</v>
      </c>
      <c r="J135" s="0" t="s">
        <v>46</v>
      </c>
      <c r="K135" s="0" t="s">
        <v>46</v>
      </c>
      <c r="L135" s="0" t="s">
        <v>46</v>
      </c>
      <c r="M135" s="0" t="s">
        <v>46</v>
      </c>
      <c r="N135" s="0" t="s">
        <v>46</v>
      </c>
      <c r="O135" s="0" t="s">
        <v>46</v>
      </c>
    </row>
    <row r="136" customFormat="false" ht="15" hidden="false" customHeight="false" outlineLevel="0" collapsed="false">
      <c r="A136" s="0" t="s">
        <v>2593</v>
      </c>
      <c r="B136" s="0" t="s">
        <v>46</v>
      </c>
      <c r="C136" s="0" t="s">
        <v>1376</v>
      </c>
      <c r="D136" s="0" t="s">
        <v>46</v>
      </c>
      <c r="E136" s="0" t="s">
        <v>46</v>
      </c>
      <c r="F136" s="0" t="s">
        <v>46</v>
      </c>
      <c r="G136" s="0" t="s">
        <v>46</v>
      </c>
      <c r="H136" s="0" t="s">
        <v>46</v>
      </c>
      <c r="I136" s="0" t="s">
        <v>46</v>
      </c>
      <c r="J136" s="0" t="s">
        <v>46</v>
      </c>
      <c r="K136" s="0" t="s">
        <v>46</v>
      </c>
      <c r="L136" s="0" t="s">
        <v>46</v>
      </c>
      <c r="M136" s="0" t="s">
        <v>46</v>
      </c>
      <c r="N136" s="0" t="s">
        <v>46</v>
      </c>
      <c r="O136" s="0" t="s">
        <v>46</v>
      </c>
    </row>
    <row r="137" customFormat="false" ht="15" hidden="false" customHeight="false" outlineLevel="0" collapsed="false">
      <c r="A137" s="0" t="s">
        <v>2594</v>
      </c>
      <c r="B137" s="0" t="s">
        <v>46</v>
      </c>
      <c r="C137" s="0" t="s">
        <v>494</v>
      </c>
      <c r="D137" s="0" t="s">
        <v>46</v>
      </c>
      <c r="E137" s="0" t="s">
        <v>46</v>
      </c>
      <c r="F137" s="0" t="s">
        <v>46</v>
      </c>
      <c r="G137" s="0" t="s">
        <v>2595</v>
      </c>
      <c r="H137" s="0" t="s">
        <v>46</v>
      </c>
      <c r="I137" s="0" t="s">
        <v>46</v>
      </c>
      <c r="J137" s="0" t="s">
        <v>46</v>
      </c>
      <c r="K137" s="0" t="s">
        <v>46</v>
      </c>
      <c r="L137" s="0" t="s">
        <v>46</v>
      </c>
      <c r="M137" s="0" t="s">
        <v>46</v>
      </c>
      <c r="N137" s="0" t="s">
        <v>46</v>
      </c>
      <c r="O137" s="0" t="s">
        <v>46</v>
      </c>
    </row>
    <row r="138" customFormat="false" ht="15" hidden="false" customHeight="false" outlineLevel="0" collapsed="false">
      <c r="A138" s="0" t="s">
        <v>2596</v>
      </c>
      <c r="B138" s="0" t="s">
        <v>46</v>
      </c>
      <c r="C138" s="0" t="s">
        <v>2597</v>
      </c>
      <c r="D138" s="0" t="s">
        <v>46</v>
      </c>
      <c r="E138" s="0" t="s">
        <v>46</v>
      </c>
      <c r="F138" s="0" t="s">
        <v>46</v>
      </c>
      <c r="G138" s="0" t="s">
        <v>46</v>
      </c>
      <c r="H138" s="0" t="s">
        <v>46</v>
      </c>
      <c r="I138" s="0" t="s">
        <v>46</v>
      </c>
      <c r="J138" s="0" t="s">
        <v>46</v>
      </c>
      <c r="K138" s="0" t="s">
        <v>46</v>
      </c>
      <c r="L138" s="0" t="s">
        <v>46</v>
      </c>
      <c r="M138" s="0" t="s">
        <v>46</v>
      </c>
      <c r="N138" s="0" t="s">
        <v>46</v>
      </c>
      <c r="O138" s="0" t="s">
        <v>46</v>
      </c>
    </row>
    <row r="139" customFormat="false" ht="15" hidden="false" customHeight="false" outlineLevel="0" collapsed="false">
      <c r="A139" s="0" t="s">
        <v>2598</v>
      </c>
      <c r="B139" s="0" t="s">
        <v>1744</v>
      </c>
      <c r="C139" s="0" t="s">
        <v>1745</v>
      </c>
      <c r="D139" s="0" t="s">
        <v>46</v>
      </c>
      <c r="E139" s="0" t="s">
        <v>46</v>
      </c>
      <c r="F139" s="0" t="s">
        <v>46</v>
      </c>
      <c r="G139" s="0" t="s">
        <v>2599</v>
      </c>
      <c r="H139" s="0" t="s">
        <v>46</v>
      </c>
      <c r="I139" s="0" t="s">
        <v>46</v>
      </c>
      <c r="J139" s="0" t="s">
        <v>46</v>
      </c>
      <c r="K139" s="0" t="s">
        <v>46</v>
      </c>
      <c r="L139" s="0" t="s">
        <v>46</v>
      </c>
      <c r="M139" s="0" t="s">
        <v>46</v>
      </c>
      <c r="N139" s="0" t="s">
        <v>46</v>
      </c>
      <c r="O139" s="0" t="s">
        <v>46</v>
      </c>
    </row>
    <row r="140" customFormat="false" ht="15" hidden="false" customHeight="false" outlineLevel="0" collapsed="false">
      <c r="A140" s="0" t="s">
        <v>2600</v>
      </c>
      <c r="B140" s="0" t="s">
        <v>1976</v>
      </c>
      <c r="C140" s="0" t="s">
        <v>1977</v>
      </c>
      <c r="D140" s="0" t="s">
        <v>46</v>
      </c>
      <c r="E140" s="0" t="s">
        <v>46</v>
      </c>
      <c r="F140" s="0" t="s">
        <v>46</v>
      </c>
      <c r="G140" s="0" t="s">
        <v>2601</v>
      </c>
      <c r="H140" s="0" t="s">
        <v>2602</v>
      </c>
      <c r="I140" s="0" t="s">
        <v>46</v>
      </c>
      <c r="J140" s="0" t="s">
        <v>46</v>
      </c>
      <c r="K140" s="0" t="s">
        <v>46</v>
      </c>
      <c r="L140" s="0" t="s">
        <v>46</v>
      </c>
      <c r="M140" s="0" t="s">
        <v>46</v>
      </c>
      <c r="N140" s="0" t="s">
        <v>46</v>
      </c>
      <c r="O140" s="0" t="s">
        <v>46</v>
      </c>
    </row>
    <row r="141" customFormat="false" ht="15" hidden="false" customHeight="false" outlineLevel="0" collapsed="false">
      <c r="A141" s="0" t="s">
        <v>2603</v>
      </c>
      <c r="B141" s="0" t="s">
        <v>1605</v>
      </c>
      <c r="C141" s="0" t="s">
        <v>1606</v>
      </c>
      <c r="D141" s="0" t="s">
        <v>1607</v>
      </c>
      <c r="E141" s="0" t="s">
        <v>46</v>
      </c>
      <c r="F141" s="0" t="s">
        <v>46</v>
      </c>
      <c r="G141" s="0" t="s">
        <v>2604</v>
      </c>
      <c r="H141" s="0" t="s">
        <v>2605</v>
      </c>
      <c r="I141" s="0" t="s">
        <v>46</v>
      </c>
      <c r="J141" s="0" t="s">
        <v>46</v>
      </c>
      <c r="K141" s="0" t="s">
        <v>46</v>
      </c>
      <c r="L141" s="0" t="s">
        <v>46</v>
      </c>
      <c r="M141" s="0" t="s">
        <v>46</v>
      </c>
      <c r="N141" s="0" t="s">
        <v>46</v>
      </c>
      <c r="O141" s="0" t="s">
        <v>46</v>
      </c>
    </row>
    <row r="142" customFormat="false" ht="15" hidden="false" customHeight="false" outlineLevel="0" collapsed="false">
      <c r="A142" s="0" t="s">
        <v>2606</v>
      </c>
      <c r="B142" s="0" t="s">
        <v>46</v>
      </c>
      <c r="C142" s="0" t="s">
        <v>2607</v>
      </c>
      <c r="D142" s="0" t="s">
        <v>46</v>
      </c>
      <c r="E142" s="0" t="s">
        <v>46</v>
      </c>
      <c r="F142" s="0" t="s">
        <v>46</v>
      </c>
      <c r="G142" s="0" t="s">
        <v>46</v>
      </c>
      <c r="H142" s="0" t="s">
        <v>46</v>
      </c>
      <c r="I142" s="0" t="s">
        <v>46</v>
      </c>
      <c r="J142" s="0" t="s">
        <v>46</v>
      </c>
      <c r="K142" s="0" t="s">
        <v>46</v>
      </c>
      <c r="L142" s="0" t="s">
        <v>46</v>
      </c>
      <c r="M142" s="0" t="s">
        <v>46</v>
      </c>
      <c r="N142" s="0" t="s">
        <v>46</v>
      </c>
      <c r="O142" s="0" t="s">
        <v>46</v>
      </c>
    </row>
    <row r="143" customFormat="false" ht="15" hidden="false" customHeight="false" outlineLevel="0" collapsed="false">
      <c r="A143" s="0" t="s">
        <v>2608</v>
      </c>
      <c r="B143" s="0" t="s">
        <v>842</v>
      </c>
      <c r="C143" s="0" t="s">
        <v>843</v>
      </c>
      <c r="D143" s="0" t="s">
        <v>844</v>
      </c>
      <c r="E143" s="0" t="s">
        <v>46</v>
      </c>
      <c r="F143" s="0" t="s">
        <v>46</v>
      </c>
      <c r="G143" s="0" t="s">
        <v>2609</v>
      </c>
      <c r="H143" s="0" t="s">
        <v>2610</v>
      </c>
      <c r="I143" s="0" t="s">
        <v>46</v>
      </c>
      <c r="J143" s="0" t="s">
        <v>46</v>
      </c>
      <c r="K143" s="0" t="s">
        <v>46</v>
      </c>
      <c r="L143" s="0" t="s">
        <v>46</v>
      </c>
      <c r="M143" s="0" t="s">
        <v>46</v>
      </c>
      <c r="N143" s="0" t="s">
        <v>46</v>
      </c>
      <c r="O143" s="0" t="s">
        <v>46</v>
      </c>
    </row>
    <row r="144" customFormat="false" ht="15" hidden="false" customHeight="false" outlineLevel="0" collapsed="false">
      <c r="A144" s="0" t="s">
        <v>2611</v>
      </c>
      <c r="B144" s="0" t="s">
        <v>767</v>
      </c>
      <c r="C144" s="0" t="s">
        <v>768</v>
      </c>
      <c r="D144" s="0" t="s">
        <v>769</v>
      </c>
      <c r="E144" s="0" t="s">
        <v>46</v>
      </c>
      <c r="F144" s="0" t="s">
        <v>2612</v>
      </c>
      <c r="G144" s="0" t="s">
        <v>46</v>
      </c>
      <c r="H144" s="0" t="s">
        <v>46</v>
      </c>
      <c r="I144" s="0" t="s">
        <v>46</v>
      </c>
      <c r="J144" s="0" t="s">
        <v>46</v>
      </c>
      <c r="K144" s="0" t="s">
        <v>46</v>
      </c>
      <c r="L144" s="0" t="s">
        <v>46</v>
      </c>
      <c r="M144" s="0" t="s">
        <v>46</v>
      </c>
      <c r="N144" s="0" t="s">
        <v>46</v>
      </c>
      <c r="O144" s="0" t="s">
        <v>46</v>
      </c>
    </row>
    <row r="145" customFormat="false" ht="15" hidden="false" customHeight="false" outlineLevel="0" collapsed="false">
      <c r="A145" s="0" t="s">
        <v>2613</v>
      </c>
      <c r="B145" s="0" t="s">
        <v>46</v>
      </c>
      <c r="C145" s="0" t="s">
        <v>2614</v>
      </c>
      <c r="D145" s="0" t="s">
        <v>46</v>
      </c>
      <c r="E145" s="0" t="s">
        <v>46</v>
      </c>
      <c r="F145" s="0" t="s">
        <v>46</v>
      </c>
      <c r="G145" s="0" t="s">
        <v>46</v>
      </c>
      <c r="H145" s="0" t="s">
        <v>46</v>
      </c>
      <c r="I145" s="0" t="s">
        <v>46</v>
      </c>
      <c r="J145" s="0" t="s">
        <v>46</v>
      </c>
      <c r="K145" s="0" t="s">
        <v>46</v>
      </c>
      <c r="L145" s="0" t="s">
        <v>46</v>
      </c>
      <c r="M145" s="0" t="s">
        <v>46</v>
      </c>
      <c r="N145" s="0" t="s">
        <v>46</v>
      </c>
      <c r="O145" s="0" t="s">
        <v>46</v>
      </c>
    </row>
    <row r="146" customFormat="false" ht="15" hidden="false" customHeight="false" outlineLevel="0" collapsed="false">
      <c r="A146" s="0" t="s">
        <v>2615</v>
      </c>
      <c r="B146" s="0" t="s">
        <v>1663</v>
      </c>
      <c r="C146" s="0" t="s">
        <v>1664</v>
      </c>
      <c r="D146" s="0" t="s">
        <v>1665</v>
      </c>
      <c r="E146" s="0" t="s">
        <v>46</v>
      </c>
      <c r="F146" s="0" t="s">
        <v>46</v>
      </c>
      <c r="G146" s="0" t="s">
        <v>46</v>
      </c>
      <c r="H146" s="0" t="s">
        <v>46</v>
      </c>
      <c r="I146" s="0" t="s">
        <v>46</v>
      </c>
      <c r="J146" s="0" t="s">
        <v>46</v>
      </c>
      <c r="K146" s="0" t="s">
        <v>46</v>
      </c>
      <c r="L146" s="0" t="s">
        <v>46</v>
      </c>
      <c r="M146" s="0" t="s">
        <v>46</v>
      </c>
      <c r="N146" s="0" t="s">
        <v>46</v>
      </c>
      <c r="O146" s="0" t="s">
        <v>46</v>
      </c>
    </row>
    <row r="147" customFormat="false" ht="15" hidden="false" customHeight="false" outlineLevel="0" collapsed="false">
      <c r="A147" s="0" t="s">
        <v>2616</v>
      </c>
      <c r="B147" s="0" t="s">
        <v>2617</v>
      </c>
      <c r="C147" s="0" t="s">
        <v>2618</v>
      </c>
      <c r="D147" s="0" t="s">
        <v>46</v>
      </c>
      <c r="E147" s="0" t="s">
        <v>46</v>
      </c>
      <c r="F147" s="0" t="s">
        <v>46</v>
      </c>
      <c r="G147" s="0" t="s">
        <v>46</v>
      </c>
      <c r="H147" s="0" t="s">
        <v>46</v>
      </c>
      <c r="I147" s="0" t="s">
        <v>46</v>
      </c>
      <c r="J147" s="0" t="s">
        <v>46</v>
      </c>
      <c r="K147" s="0" t="s">
        <v>46</v>
      </c>
      <c r="L147" s="0" t="s">
        <v>46</v>
      </c>
      <c r="M147" s="0" t="s">
        <v>46</v>
      </c>
      <c r="N147" s="0" t="s">
        <v>46</v>
      </c>
      <c r="O147" s="0" t="s">
        <v>46</v>
      </c>
    </row>
    <row r="148" customFormat="false" ht="15" hidden="false" customHeight="false" outlineLevel="0" collapsed="false">
      <c r="A148" s="0" t="s">
        <v>2619</v>
      </c>
      <c r="B148" s="0" t="s">
        <v>689</v>
      </c>
      <c r="C148" s="0" t="s">
        <v>690</v>
      </c>
      <c r="D148" s="0" t="s">
        <v>46</v>
      </c>
      <c r="E148" s="0" t="s">
        <v>46</v>
      </c>
      <c r="F148" s="0" t="s">
        <v>46</v>
      </c>
      <c r="G148" s="0" t="s">
        <v>46</v>
      </c>
      <c r="H148" s="0" t="s">
        <v>46</v>
      </c>
      <c r="I148" s="0" t="s">
        <v>46</v>
      </c>
      <c r="J148" s="0" t="s">
        <v>46</v>
      </c>
      <c r="K148" s="0" t="s">
        <v>46</v>
      </c>
      <c r="L148" s="0" t="s">
        <v>46</v>
      </c>
      <c r="M148" s="0" t="s">
        <v>46</v>
      </c>
      <c r="N148" s="0" t="s">
        <v>46</v>
      </c>
      <c r="O148" s="0" t="s">
        <v>46</v>
      </c>
    </row>
    <row r="149" customFormat="false" ht="15" hidden="false" customHeight="false" outlineLevel="0" collapsed="false">
      <c r="A149" s="0" t="s">
        <v>2620</v>
      </c>
      <c r="B149" s="0" t="s">
        <v>359</v>
      </c>
      <c r="C149" s="0" t="s">
        <v>360</v>
      </c>
      <c r="D149" s="0" t="s">
        <v>361</v>
      </c>
      <c r="E149" s="0" t="s">
        <v>46</v>
      </c>
      <c r="F149" s="0" t="s">
        <v>46</v>
      </c>
      <c r="G149" s="0" t="s">
        <v>2621</v>
      </c>
      <c r="H149" s="0" t="s">
        <v>46</v>
      </c>
      <c r="I149" s="0" t="s">
        <v>46</v>
      </c>
      <c r="J149" s="0" t="s">
        <v>46</v>
      </c>
      <c r="K149" s="0" t="s">
        <v>46</v>
      </c>
      <c r="L149" s="0" t="s">
        <v>46</v>
      </c>
      <c r="M149" s="0" t="s">
        <v>46</v>
      </c>
      <c r="N149" s="0" t="s">
        <v>46</v>
      </c>
      <c r="O149" s="0" t="s">
        <v>46</v>
      </c>
    </row>
    <row r="150" customFormat="false" ht="15" hidden="false" customHeight="false" outlineLevel="0" collapsed="false">
      <c r="A150" s="0" t="s">
        <v>2622</v>
      </c>
      <c r="B150" s="0" t="s">
        <v>1517</v>
      </c>
      <c r="C150" s="0" t="s">
        <v>1518</v>
      </c>
      <c r="D150" s="0" t="s">
        <v>46</v>
      </c>
      <c r="E150" s="0" t="s">
        <v>46</v>
      </c>
      <c r="F150" s="0" t="s">
        <v>46</v>
      </c>
      <c r="G150" s="0" t="s">
        <v>2623</v>
      </c>
      <c r="H150" s="0" t="s">
        <v>2624</v>
      </c>
      <c r="I150" s="0" t="s">
        <v>46</v>
      </c>
      <c r="J150" s="0" t="s">
        <v>46</v>
      </c>
      <c r="K150" s="0" t="s">
        <v>46</v>
      </c>
      <c r="L150" s="0" t="s">
        <v>46</v>
      </c>
      <c r="M150" s="0" t="s">
        <v>46</v>
      </c>
      <c r="N150" s="0" t="s">
        <v>46</v>
      </c>
      <c r="O150" s="0" t="s">
        <v>46</v>
      </c>
    </row>
    <row r="151" customFormat="false" ht="15" hidden="false" customHeight="false" outlineLevel="0" collapsed="false">
      <c r="A151" s="0" t="s">
        <v>2625</v>
      </c>
      <c r="B151" s="0" t="s">
        <v>1347</v>
      </c>
      <c r="C151" s="0" t="s">
        <v>1348</v>
      </c>
      <c r="D151" s="0" t="s">
        <v>46</v>
      </c>
      <c r="E151" s="0" t="s">
        <v>46</v>
      </c>
      <c r="F151" s="0" t="s">
        <v>46</v>
      </c>
      <c r="G151" s="0" t="s">
        <v>2626</v>
      </c>
      <c r="H151" s="0" t="s">
        <v>2627</v>
      </c>
      <c r="I151" s="0" t="s">
        <v>46</v>
      </c>
      <c r="J151" s="0" t="s">
        <v>46</v>
      </c>
      <c r="K151" s="0" t="s">
        <v>46</v>
      </c>
      <c r="L151" s="0" t="s">
        <v>46</v>
      </c>
      <c r="M151" s="0" t="s">
        <v>46</v>
      </c>
      <c r="N151" s="0" t="s">
        <v>46</v>
      </c>
      <c r="O151" s="0" t="s">
        <v>46</v>
      </c>
    </row>
    <row r="152" customFormat="false" ht="15" hidden="false" customHeight="false" outlineLevel="0" collapsed="false">
      <c r="A152" s="0" t="s">
        <v>2628</v>
      </c>
      <c r="B152" s="0" t="s">
        <v>1657</v>
      </c>
      <c r="C152" s="0" t="s">
        <v>1658</v>
      </c>
      <c r="D152" s="0" t="s">
        <v>46</v>
      </c>
      <c r="E152" s="0" t="s">
        <v>46</v>
      </c>
      <c r="F152" s="0" t="s">
        <v>46</v>
      </c>
      <c r="G152" s="0" t="s">
        <v>2629</v>
      </c>
      <c r="H152" s="0" t="s">
        <v>46</v>
      </c>
      <c r="I152" s="0" t="s">
        <v>46</v>
      </c>
      <c r="J152" s="0" t="s">
        <v>46</v>
      </c>
      <c r="K152" s="0" t="s">
        <v>46</v>
      </c>
      <c r="L152" s="0" t="s">
        <v>46</v>
      </c>
      <c r="M152" s="0" t="s">
        <v>46</v>
      </c>
      <c r="N152" s="0" t="s">
        <v>46</v>
      </c>
      <c r="O152" s="0" t="s">
        <v>46</v>
      </c>
    </row>
    <row r="153" customFormat="false" ht="15" hidden="false" customHeight="false" outlineLevel="0" collapsed="false">
      <c r="A153" s="0" t="s">
        <v>2630</v>
      </c>
      <c r="B153" s="0" t="s">
        <v>1009</v>
      </c>
      <c r="C153" s="0" t="s">
        <v>1010</v>
      </c>
      <c r="D153" s="0" t="s">
        <v>1011</v>
      </c>
      <c r="E153" s="0" t="s">
        <v>46</v>
      </c>
      <c r="F153" s="0" t="s">
        <v>2631</v>
      </c>
      <c r="G153" s="0" t="s">
        <v>2632</v>
      </c>
      <c r="H153" s="0" t="s">
        <v>2633</v>
      </c>
      <c r="I153" s="0" t="s">
        <v>46</v>
      </c>
      <c r="J153" s="0" t="s">
        <v>46</v>
      </c>
      <c r="K153" s="0" t="s">
        <v>46</v>
      </c>
      <c r="L153" s="0" t="s">
        <v>46</v>
      </c>
      <c r="M153" s="0" t="s">
        <v>46</v>
      </c>
      <c r="N153" s="0" t="s">
        <v>46</v>
      </c>
      <c r="O153" s="0" t="s">
        <v>46</v>
      </c>
    </row>
    <row r="154" customFormat="false" ht="15" hidden="false" customHeight="false" outlineLevel="0" collapsed="false">
      <c r="A154" s="0" t="s">
        <v>2634</v>
      </c>
      <c r="B154" s="0" t="s">
        <v>519</v>
      </c>
      <c r="C154" s="0" t="s">
        <v>520</v>
      </c>
      <c r="D154" s="0" t="s">
        <v>521</v>
      </c>
      <c r="E154" s="0" t="s">
        <v>46</v>
      </c>
      <c r="F154" s="0" t="s">
        <v>2635</v>
      </c>
      <c r="G154" s="0" t="s">
        <v>2636</v>
      </c>
      <c r="H154" s="0" t="s">
        <v>2637</v>
      </c>
      <c r="I154" s="0" t="s">
        <v>46</v>
      </c>
      <c r="J154" s="0" t="s">
        <v>46</v>
      </c>
      <c r="K154" s="0" t="s">
        <v>46</v>
      </c>
      <c r="L154" s="0" t="s">
        <v>46</v>
      </c>
      <c r="M154" s="0" t="s">
        <v>46</v>
      </c>
      <c r="N154" s="0" t="s">
        <v>46</v>
      </c>
      <c r="O154" s="0" t="s">
        <v>46</v>
      </c>
    </row>
    <row r="155" customFormat="false" ht="15" hidden="false" customHeight="false" outlineLevel="0" collapsed="false">
      <c r="A155" s="0" t="s">
        <v>2638</v>
      </c>
      <c r="B155" s="0" t="s">
        <v>2066</v>
      </c>
      <c r="C155" s="0" t="s">
        <v>2067</v>
      </c>
      <c r="D155" s="0" t="s">
        <v>2068</v>
      </c>
      <c r="E155" s="0" t="s">
        <v>46</v>
      </c>
      <c r="F155" s="0" t="s">
        <v>46</v>
      </c>
      <c r="G155" s="0" t="s">
        <v>2639</v>
      </c>
      <c r="H155" s="0" t="s">
        <v>2640</v>
      </c>
      <c r="I155" s="0" t="s">
        <v>46</v>
      </c>
      <c r="J155" s="0" t="s">
        <v>46</v>
      </c>
      <c r="K155" s="0" t="s">
        <v>46</v>
      </c>
      <c r="L155" s="0" t="s">
        <v>46</v>
      </c>
      <c r="M155" s="0" t="s">
        <v>46</v>
      </c>
      <c r="N155" s="0" t="s">
        <v>46</v>
      </c>
      <c r="O155" s="0" t="s">
        <v>46</v>
      </c>
    </row>
    <row r="156" customFormat="false" ht="15" hidden="false" customHeight="false" outlineLevel="0" collapsed="false">
      <c r="A156" s="0" t="s">
        <v>2641</v>
      </c>
      <c r="B156" s="0" t="s">
        <v>510</v>
      </c>
      <c r="C156" s="0" t="s">
        <v>511</v>
      </c>
      <c r="D156" s="0" t="s">
        <v>512</v>
      </c>
      <c r="E156" s="0" t="s">
        <v>46</v>
      </c>
      <c r="F156" s="0" t="s">
        <v>2280</v>
      </c>
      <c r="G156" s="0" t="s">
        <v>2642</v>
      </c>
      <c r="H156" s="0" t="s">
        <v>2643</v>
      </c>
      <c r="I156" s="0" t="s">
        <v>46</v>
      </c>
      <c r="J156" s="0" t="s">
        <v>46</v>
      </c>
      <c r="K156" s="0" t="s">
        <v>46</v>
      </c>
      <c r="L156" s="0" t="s">
        <v>46</v>
      </c>
      <c r="M156" s="0" t="s">
        <v>46</v>
      </c>
      <c r="N156" s="0" t="s">
        <v>46</v>
      </c>
      <c r="O156" s="0" t="s">
        <v>46</v>
      </c>
    </row>
    <row r="157" customFormat="false" ht="15" hidden="false" customHeight="false" outlineLevel="0" collapsed="false">
      <c r="A157" s="0" t="s">
        <v>2644</v>
      </c>
      <c r="B157" s="0" t="s">
        <v>210</v>
      </c>
      <c r="C157" s="0" t="s">
        <v>211</v>
      </c>
      <c r="D157" s="0" t="s">
        <v>212</v>
      </c>
      <c r="E157" s="0" t="s">
        <v>46</v>
      </c>
      <c r="F157" s="0" t="s">
        <v>2645</v>
      </c>
      <c r="G157" s="0" t="s">
        <v>2646</v>
      </c>
      <c r="H157" s="0" t="s">
        <v>46</v>
      </c>
      <c r="I157" s="0" t="s">
        <v>46</v>
      </c>
      <c r="J157" s="0" t="s">
        <v>46</v>
      </c>
      <c r="K157" s="0" t="s">
        <v>46</v>
      </c>
      <c r="L157" s="0" t="s">
        <v>46</v>
      </c>
      <c r="M157" s="0" t="s">
        <v>46</v>
      </c>
      <c r="N157" s="0" t="s">
        <v>46</v>
      </c>
      <c r="O157" s="0" t="s">
        <v>46</v>
      </c>
    </row>
    <row r="158" customFormat="false" ht="15" hidden="false" customHeight="false" outlineLevel="0" collapsed="false">
      <c r="A158" s="0" t="s">
        <v>2647</v>
      </c>
      <c r="B158" s="0" t="s">
        <v>183</v>
      </c>
      <c r="C158" s="0" t="s">
        <v>2648</v>
      </c>
      <c r="D158" s="0" t="s">
        <v>2649</v>
      </c>
      <c r="E158" s="0" t="s">
        <v>46</v>
      </c>
      <c r="F158" s="0" t="s">
        <v>2650</v>
      </c>
      <c r="G158" s="0" t="s">
        <v>2651</v>
      </c>
      <c r="H158" s="0" t="s">
        <v>2652</v>
      </c>
      <c r="I158" s="0" t="s">
        <v>46</v>
      </c>
      <c r="J158" s="0" t="s">
        <v>46</v>
      </c>
      <c r="K158" s="0" t="s">
        <v>46</v>
      </c>
      <c r="L158" s="0" t="s">
        <v>46</v>
      </c>
      <c r="M158" s="0" t="s">
        <v>46</v>
      </c>
      <c r="N158" s="0" t="s">
        <v>46</v>
      </c>
      <c r="O158" s="0" t="s">
        <v>46</v>
      </c>
    </row>
    <row r="159" customFormat="false" ht="15" hidden="false" customHeight="false" outlineLevel="0" collapsed="false">
      <c r="A159" s="0" t="s">
        <v>2653</v>
      </c>
      <c r="B159" s="0" t="s">
        <v>46</v>
      </c>
      <c r="C159" s="0" t="s">
        <v>2654</v>
      </c>
      <c r="D159" s="0" t="s">
        <v>2655</v>
      </c>
      <c r="E159" s="0" t="s">
        <v>46</v>
      </c>
      <c r="F159" s="0" t="s">
        <v>46</v>
      </c>
      <c r="G159" s="0" t="s">
        <v>46</v>
      </c>
      <c r="H159" s="0" t="s">
        <v>46</v>
      </c>
      <c r="I159" s="0" t="s">
        <v>46</v>
      </c>
      <c r="J159" s="0" t="s">
        <v>46</v>
      </c>
      <c r="K159" s="0" t="s">
        <v>46</v>
      </c>
      <c r="L159" s="0" t="s">
        <v>46</v>
      </c>
      <c r="M159" s="0" t="s">
        <v>46</v>
      </c>
      <c r="N159" s="0" t="s">
        <v>46</v>
      </c>
      <c r="O159" s="0" t="s">
        <v>46</v>
      </c>
    </row>
    <row r="160" customFormat="false" ht="15" hidden="false" customHeight="false" outlineLevel="0" collapsed="false">
      <c r="A160" s="0" t="s">
        <v>2656</v>
      </c>
      <c r="B160" s="0" t="s">
        <v>2003</v>
      </c>
      <c r="C160" s="0" t="s">
        <v>2004</v>
      </c>
      <c r="D160" s="0" t="s">
        <v>46</v>
      </c>
      <c r="E160" s="0" t="s">
        <v>46</v>
      </c>
      <c r="F160" s="0" t="s">
        <v>2657</v>
      </c>
      <c r="G160" s="0" t="s">
        <v>2658</v>
      </c>
      <c r="H160" s="0" t="s">
        <v>46</v>
      </c>
      <c r="I160" s="0" t="s">
        <v>46</v>
      </c>
      <c r="J160" s="0" t="s">
        <v>46</v>
      </c>
      <c r="K160" s="0" t="s">
        <v>46</v>
      </c>
      <c r="L160" s="0" t="s">
        <v>46</v>
      </c>
      <c r="M160" s="0" t="s">
        <v>46</v>
      </c>
      <c r="N160" s="0" t="s">
        <v>46</v>
      </c>
      <c r="O160" s="0" t="s">
        <v>46</v>
      </c>
    </row>
    <row r="161" customFormat="false" ht="15" hidden="false" customHeight="false" outlineLevel="0" collapsed="false">
      <c r="A161" s="0" t="s">
        <v>2659</v>
      </c>
      <c r="B161" s="0" t="s">
        <v>1199</v>
      </c>
      <c r="C161" s="0" t="s">
        <v>1200</v>
      </c>
      <c r="D161" s="0" t="s">
        <v>46</v>
      </c>
      <c r="E161" s="0" t="s">
        <v>46</v>
      </c>
      <c r="F161" s="0" t="s">
        <v>46</v>
      </c>
      <c r="G161" s="0" t="s">
        <v>2660</v>
      </c>
      <c r="H161" s="0" t="s">
        <v>2661</v>
      </c>
      <c r="I161" s="0" t="s">
        <v>46</v>
      </c>
      <c r="J161" s="0" t="s">
        <v>46</v>
      </c>
      <c r="K161" s="0" t="s">
        <v>46</v>
      </c>
      <c r="L161" s="0" t="s">
        <v>46</v>
      </c>
      <c r="M161" s="0" t="s">
        <v>46</v>
      </c>
      <c r="N161" s="0" t="s">
        <v>46</v>
      </c>
      <c r="O161" s="0" t="s">
        <v>46</v>
      </c>
    </row>
    <row r="162" customFormat="false" ht="15" hidden="false" customHeight="false" outlineLevel="0" collapsed="false">
      <c r="A162" s="0" t="s">
        <v>2662</v>
      </c>
      <c r="B162" s="0" t="s">
        <v>1593</v>
      </c>
      <c r="C162" s="0" t="s">
        <v>1594</v>
      </c>
      <c r="D162" s="0" t="s">
        <v>1595</v>
      </c>
      <c r="E162" s="0" t="s">
        <v>46</v>
      </c>
      <c r="F162" s="0" t="s">
        <v>2663</v>
      </c>
      <c r="G162" s="0" t="s">
        <v>2664</v>
      </c>
      <c r="H162" s="0" t="s">
        <v>2665</v>
      </c>
      <c r="I162" s="0" t="s">
        <v>46</v>
      </c>
      <c r="J162" s="0" t="s">
        <v>46</v>
      </c>
      <c r="K162" s="0" t="s">
        <v>46</v>
      </c>
      <c r="L162" s="0" t="s">
        <v>46</v>
      </c>
      <c r="M162" s="0" t="s">
        <v>46</v>
      </c>
      <c r="N162" s="0" t="s">
        <v>46</v>
      </c>
      <c r="O162" s="0" t="s">
        <v>46</v>
      </c>
    </row>
    <row r="163" customFormat="false" ht="15" hidden="false" customHeight="false" outlineLevel="0" collapsed="false">
      <c r="A163" s="0" t="s">
        <v>2666</v>
      </c>
      <c r="B163" s="0" t="s">
        <v>1351</v>
      </c>
      <c r="C163" s="0" t="s">
        <v>1352</v>
      </c>
      <c r="D163" s="0" t="s">
        <v>1353</v>
      </c>
      <c r="E163" s="0" t="s">
        <v>46</v>
      </c>
      <c r="F163" s="0" t="s">
        <v>46</v>
      </c>
      <c r="G163" s="0" t="s">
        <v>46</v>
      </c>
      <c r="H163" s="0" t="s">
        <v>46</v>
      </c>
      <c r="I163" s="0" t="s">
        <v>46</v>
      </c>
      <c r="J163" s="0" t="s">
        <v>46</v>
      </c>
      <c r="K163" s="0" t="s">
        <v>46</v>
      </c>
      <c r="L163" s="0" t="s">
        <v>46</v>
      </c>
      <c r="M163" s="0" t="s">
        <v>46</v>
      </c>
      <c r="N163" s="0" t="s">
        <v>46</v>
      </c>
      <c r="O163" s="0" t="s">
        <v>46</v>
      </c>
    </row>
    <row r="164" customFormat="false" ht="15" hidden="false" customHeight="false" outlineLevel="0" collapsed="false">
      <c r="A164" s="0" t="s">
        <v>2667</v>
      </c>
      <c r="B164" s="0" t="s">
        <v>1041</v>
      </c>
      <c r="C164" s="0" t="s">
        <v>1042</v>
      </c>
      <c r="D164" s="0" t="s">
        <v>1043</v>
      </c>
      <c r="E164" s="0" t="s">
        <v>46</v>
      </c>
      <c r="F164" s="0" t="s">
        <v>46</v>
      </c>
      <c r="G164" s="0" t="s">
        <v>2668</v>
      </c>
      <c r="H164" s="0" t="s">
        <v>46</v>
      </c>
      <c r="I164" s="0" t="s">
        <v>46</v>
      </c>
      <c r="J164" s="0" t="s">
        <v>46</v>
      </c>
      <c r="K164" s="0" t="s">
        <v>46</v>
      </c>
      <c r="L164" s="0" t="s">
        <v>46</v>
      </c>
      <c r="M164" s="0" t="s">
        <v>46</v>
      </c>
      <c r="N164" s="0" t="s">
        <v>46</v>
      </c>
      <c r="O164" s="0" t="s">
        <v>46</v>
      </c>
    </row>
    <row r="165" customFormat="false" ht="15" hidden="false" customHeight="false" outlineLevel="0" collapsed="false">
      <c r="A165" s="0" t="s">
        <v>2669</v>
      </c>
      <c r="B165" s="0" t="s">
        <v>202</v>
      </c>
      <c r="C165" s="0" t="s">
        <v>203</v>
      </c>
      <c r="D165" s="0" t="s">
        <v>204</v>
      </c>
      <c r="E165" s="0" t="s">
        <v>46</v>
      </c>
      <c r="F165" s="0" t="s">
        <v>2670</v>
      </c>
      <c r="G165" s="0" t="s">
        <v>46</v>
      </c>
      <c r="H165" s="0" t="s">
        <v>46</v>
      </c>
      <c r="I165" s="0" t="s">
        <v>46</v>
      </c>
      <c r="J165" s="0" t="s">
        <v>46</v>
      </c>
      <c r="K165" s="0" t="s">
        <v>46</v>
      </c>
      <c r="L165" s="0" t="s">
        <v>46</v>
      </c>
      <c r="M165" s="0" t="s">
        <v>46</v>
      </c>
      <c r="N165" s="0" t="s">
        <v>46</v>
      </c>
      <c r="O165" s="0" t="s">
        <v>46</v>
      </c>
    </row>
    <row r="166" customFormat="false" ht="15" hidden="false" customHeight="false" outlineLevel="0" collapsed="false">
      <c r="A166" s="0" t="s">
        <v>2671</v>
      </c>
      <c r="B166" s="0" t="s">
        <v>1599</v>
      </c>
      <c r="C166" s="0" t="s">
        <v>1600</v>
      </c>
      <c r="D166" s="0" t="s">
        <v>1601</v>
      </c>
      <c r="E166" s="0" t="s">
        <v>46</v>
      </c>
      <c r="F166" s="0" t="s">
        <v>46</v>
      </c>
      <c r="G166" s="0" t="s">
        <v>46</v>
      </c>
      <c r="H166" s="0" t="s">
        <v>46</v>
      </c>
      <c r="I166" s="0" t="s">
        <v>46</v>
      </c>
      <c r="J166" s="0" t="s">
        <v>46</v>
      </c>
      <c r="K166" s="0" t="s">
        <v>46</v>
      </c>
      <c r="L166" s="0" t="s">
        <v>46</v>
      </c>
      <c r="M166" s="0" t="s">
        <v>46</v>
      </c>
      <c r="N166" s="0" t="s">
        <v>46</v>
      </c>
      <c r="O166" s="0" t="s">
        <v>46</v>
      </c>
    </row>
    <row r="167" customFormat="false" ht="15" hidden="false" customHeight="false" outlineLevel="0" collapsed="false">
      <c r="A167" s="0" t="s">
        <v>2672</v>
      </c>
      <c r="B167" s="0" t="s">
        <v>1646</v>
      </c>
      <c r="C167" s="0" t="s">
        <v>1647</v>
      </c>
      <c r="D167" s="0" t="s">
        <v>1648</v>
      </c>
      <c r="E167" s="0" t="s">
        <v>46</v>
      </c>
      <c r="F167" s="0" t="s">
        <v>2673</v>
      </c>
      <c r="G167" s="0" t="s">
        <v>2674</v>
      </c>
      <c r="H167" s="0" t="s">
        <v>46</v>
      </c>
      <c r="I167" s="0" t="s">
        <v>46</v>
      </c>
      <c r="J167" s="0" t="s">
        <v>46</v>
      </c>
      <c r="K167" s="0" t="s">
        <v>46</v>
      </c>
      <c r="L167" s="0" t="s">
        <v>46</v>
      </c>
      <c r="M167" s="0" t="s">
        <v>46</v>
      </c>
      <c r="N167" s="0" t="s">
        <v>46</v>
      </c>
      <c r="O167" s="0" t="s">
        <v>46</v>
      </c>
    </row>
    <row r="168" customFormat="false" ht="15" hidden="false" customHeight="false" outlineLevel="0" collapsed="false">
      <c r="A168" s="0" t="s">
        <v>2675</v>
      </c>
      <c r="B168" s="0" t="s">
        <v>446</v>
      </c>
      <c r="C168" s="0" t="s">
        <v>447</v>
      </c>
      <c r="D168" s="0" t="s">
        <v>448</v>
      </c>
      <c r="E168" s="0" t="s">
        <v>46</v>
      </c>
      <c r="F168" s="0" t="s">
        <v>2676</v>
      </c>
      <c r="G168" s="0" t="s">
        <v>2677</v>
      </c>
      <c r="H168" s="0" t="s">
        <v>2678</v>
      </c>
      <c r="I168" s="0" t="s">
        <v>46</v>
      </c>
      <c r="J168" s="0" t="s">
        <v>46</v>
      </c>
      <c r="K168" s="0" t="s">
        <v>46</v>
      </c>
      <c r="L168" s="0" t="s">
        <v>46</v>
      </c>
      <c r="M168" s="0" t="s">
        <v>46</v>
      </c>
      <c r="N168" s="0" t="s">
        <v>46</v>
      </c>
      <c r="O168" s="0" t="s">
        <v>46</v>
      </c>
    </row>
    <row r="169" customFormat="false" ht="15" hidden="false" customHeight="false" outlineLevel="0" collapsed="false">
      <c r="A169" s="0" t="s">
        <v>2679</v>
      </c>
      <c r="B169" s="0" t="s">
        <v>457</v>
      </c>
      <c r="C169" s="0" t="s">
        <v>458</v>
      </c>
      <c r="D169" s="0" t="s">
        <v>459</v>
      </c>
      <c r="E169" s="0" t="s">
        <v>46</v>
      </c>
      <c r="F169" s="0" t="s">
        <v>2680</v>
      </c>
      <c r="G169" s="0" t="s">
        <v>46</v>
      </c>
      <c r="H169" s="0" t="s">
        <v>46</v>
      </c>
      <c r="I169" s="0" t="s">
        <v>46</v>
      </c>
      <c r="J169" s="0" t="s">
        <v>46</v>
      </c>
      <c r="K169" s="0" t="s">
        <v>46</v>
      </c>
      <c r="L169" s="0" t="s">
        <v>46</v>
      </c>
      <c r="M169" s="0" t="s">
        <v>46</v>
      </c>
      <c r="N169" s="0" t="s">
        <v>46</v>
      </c>
      <c r="O169" s="0" t="s">
        <v>46</v>
      </c>
    </row>
    <row r="170" customFormat="false" ht="15" hidden="false" customHeight="false" outlineLevel="0" collapsed="false">
      <c r="A170" s="0" t="s">
        <v>2681</v>
      </c>
      <c r="B170" s="0" t="s">
        <v>1310</v>
      </c>
      <c r="C170" s="0" t="s">
        <v>1311</v>
      </c>
      <c r="D170" s="0" t="s">
        <v>1312</v>
      </c>
      <c r="E170" s="0" t="s">
        <v>46</v>
      </c>
      <c r="F170" s="0" t="s">
        <v>46</v>
      </c>
      <c r="G170" s="0" t="s">
        <v>2682</v>
      </c>
      <c r="H170" s="0" t="s">
        <v>2683</v>
      </c>
      <c r="I170" s="0" t="s">
        <v>46</v>
      </c>
      <c r="J170" s="0" t="s">
        <v>46</v>
      </c>
      <c r="K170" s="0" t="s">
        <v>46</v>
      </c>
      <c r="L170" s="0" t="s">
        <v>46</v>
      </c>
      <c r="M170" s="0" t="s">
        <v>46</v>
      </c>
      <c r="N170" s="0" t="s">
        <v>46</v>
      </c>
      <c r="O170" s="0" t="s">
        <v>46</v>
      </c>
    </row>
    <row r="171" customFormat="false" ht="15" hidden="false" customHeight="false" outlineLevel="0" collapsed="false">
      <c r="A171" s="0" t="s">
        <v>2684</v>
      </c>
      <c r="B171" s="0" t="s">
        <v>1626</v>
      </c>
      <c r="C171" s="0" t="s">
        <v>1627</v>
      </c>
      <c r="D171" s="0" t="s">
        <v>1628</v>
      </c>
      <c r="E171" s="0" t="s">
        <v>46</v>
      </c>
      <c r="F171" s="0" t="s">
        <v>2685</v>
      </c>
      <c r="G171" s="0" t="s">
        <v>2686</v>
      </c>
      <c r="H171" s="0" t="s">
        <v>2687</v>
      </c>
      <c r="I171" s="0" t="s">
        <v>46</v>
      </c>
      <c r="J171" s="0" t="s">
        <v>46</v>
      </c>
      <c r="K171" s="0" t="s">
        <v>46</v>
      </c>
      <c r="L171" s="0" t="s">
        <v>46</v>
      </c>
      <c r="M171" s="0" t="s">
        <v>46</v>
      </c>
      <c r="N171" s="0" t="s">
        <v>46</v>
      </c>
      <c r="O171" s="0" t="s">
        <v>46</v>
      </c>
    </row>
    <row r="172" customFormat="false" ht="15" hidden="false" customHeight="false" outlineLevel="0" collapsed="false">
      <c r="A172" s="0" t="s">
        <v>2688</v>
      </c>
      <c r="B172" s="0" t="s">
        <v>46</v>
      </c>
      <c r="C172" s="0" t="s">
        <v>960</v>
      </c>
      <c r="D172" s="0" t="s">
        <v>961</v>
      </c>
      <c r="E172" s="0" t="s">
        <v>46</v>
      </c>
      <c r="F172" s="0" t="s">
        <v>2689</v>
      </c>
      <c r="G172" s="0" t="s">
        <v>2690</v>
      </c>
      <c r="H172" s="0" t="s">
        <v>2691</v>
      </c>
      <c r="I172" s="0" t="s">
        <v>46</v>
      </c>
      <c r="J172" s="0" t="s">
        <v>46</v>
      </c>
      <c r="K172" s="0" t="s">
        <v>46</v>
      </c>
      <c r="L172" s="0" t="s">
        <v>46</v>
      </c>
      <c r="M172" s="0" t="s">
        <v>46</v>
      </c>
      <c r="N172" s="0" t="s">
        <v>46</v>
      </c>
      <c r="O172" s="0" t="s">
        <v>46</v>
      </c>
    </row>
    <row r="173" customFormat="false" ht="15" hidden="false" customHeight="false" outlineLevel="0" collapsed="false">
      <c r="A173" s="0" t="s">
        <v>2692</v>
      </c>
      <c r="B173" s="0" t="s">
        <v>1708</v>
      </c>
      <c r="C173" s="0" t="s">
        <v>1709</v>
      </c>
      <c r="D173" s="0" t="s">
        <v>46</v>
      </c>
      <c r="E173" s="0" t="s">
        <v>46</v>
      </c>
      <c r="F173" s="0" t="s">
        <v>46</v>
      </c>
      <c r="G173" s="0" t="s">
        <v>2693</v>
      </c>
      <c r="H173" s="0" t="s">
        <v>46</v>
      </c>
      <c r="I173" s="0" t="s">
        <v>46</v>
      </c>
      <c r="J173" s="0" t="s">
        <v>46</v>
      </c>
      <c r="K173" s="0" t="s">
        <v>46</v>
      </c>
      <c r="L173" s="0" t="s">
        <v>46</v>
      </c>
      <c r="M173" s="0" t="s">
        <v>46</v>
      </c>
      <c r="N173" s="0" t="s">
        <v>46</v>
      </c>
      <c r="O173" s="0" t="s">
        <v>46</v>
      </c>
    </row>
    <row r="174" customFormat="false" ht="15" hidden="false" customHeight="false" outlineLevel="0" collapsed="false">
      <c r="A174" s="0" t="s">
        <v>2694</v>
      </c>
      <c r="B174" s="0" t="s">
        <v>1533</v>
      </c>
      <c r="C174" s="0" t="s">
        <v>1534</v>
      </c>
      <c r="D174" s="0" t="s">
        <v>1535</v>
      </c>
      <c r="E174" s="0" t="s">
        <v>46</v>
      </c>
      <c r="F174" s="0" t="s">
        <v>2695</v>
      </c>
      <c r="G174" s="0" t="s">
        <v>2696</v>
      </c>
      <c r="H174" s="0" t="s">
        <v>46</v>
      </c>
      <c r="I174" s="0" t="s">
        <v>46</v>
      </c>
      <c r="J174" s="0" t="s">
        <v>46</v>
      </c>
      <c r="K174" s="0" t="s">
        <v>46</v>
      </c>
      <c r="L174" s="0" t="s">
        <v>46</v>
      </c>
      <c r="M174" s="0" t="s">
        <v>46</v>
      </c>
      <c r="N174" s="0" t="s">
        <v>46</v>
      </c>
      <c r="O174" s="0" t="s">
        <v>46</v>
      </c>
    </row>
    <row r="175" customFormat="false" ht="15" hidden="false" customHeight="false" outlineLevel="0" collapsed="false">
      <c r="A175" s="0" t="s">
        <v>2697</v>
      </c>
      <c r="B175" s="0" t="s">
        <v>911</v>
      </c>
      <c r="C175" s="0" t="s">
        <v>912</v>
      </c>
      <c r="D175" s="0" t="s">
        <v>913</v>
      </c>
      <c r="E175" s="0" t="s">
        <v>46</v>
      </c>
      <c r="F175" s="0" t="s">
        <v>2698</v>
      </c>
      <c r="G175" s="0" t="s">
        <v>2699</v>
      </c>
      <c r="H175" s="0" t="s">
        <v>2700</v>
      </c>
      <c r="I175" s="0" t="s">
        <v>46</v>
      </c>
      <c r="J175" s="0" t="s">
        <v>46</v>
      </c>
      <c r="K175" s="0" t="s">
        <v>46</v>
      </c>
      <c r="L175" s="0" t="s">
        <v>46</v>
      </c>
      <c r="M175" s="0" t="s">
        <v>46</v>
      </c>
      <c r="N175" s="0" t="s">
        <v>46</v>
      </c>
      <c r="O175" s="0" t="s">
        <v>46</v>
      </c>
    </row>
    <row r="176" customFormat="false" ht="15" hidden="false" customHeight="false" outlineLevel="0" collapsed="false">
      <c r="A176" s="0" t="s">
        <v>2701</v>
      </c>
      <c r="B176" s="0" t="s">
        <v>46</v>
      </c>
      <c r="C176" s="0" t="s">
        <v>2702</v>
      </c>
      <c r="D176" s="0" t="s">
        <v>46</v>
      </c>
      <c r="E176" s="0" t="s">
        <v>46</v>
      </c>
      <c r="F176" s="0" t="s">
        <v>46</v>
      </c>
      <c r="G176" s="0" t="s">
        <v>46</v>
      </c>
      <c r="H176" s="0" t="s">
        <v>46</v>
      </c>
      <c r="I176" s="0" t="s">
        <v>46</v>
      </c>
      <c r="J176" s="0" t="s">
        <v>46</v>
      </c>
      <c r="K176" s="0" t="s">
        <v>46</v>
      </c>
      <c r="L176" s="0" t="s">
        <v>46</v>
      </c>
      <c r="M176" s="0" t="s">
        <v>46</v>
      </c>
      <c r="N176" s="0" t="s">
        <v>46</v>
      </c>
      <c r="O176" s="0" t="s">
        <v>46</v>
      </c>
    </row>
    <row r="177" customFormat="false" ht="15" hidden="false" customHeight="false" outlineLevel="0" collapsed="false">
      <c r="A177" s="0" t="s">
        <v>2703</v>
      </c>
      <c r="B177" s="0" t="s">
        <v>1584</v>
      </c>
      <c r="C177" s="0" t="s">
        <v>1585</v>
      </c>
      <c r="D177" s="0" t="s">
        <v>1586</v>
      </c>
      <c r="E177" s="0" t="s">
        <v>46</v>
      </c>
      <c r="F177" s="0" t="s">
        <v>46</v>
      </c>
      <c r="G177" s="0" t="s">
        <v>2704</v>
      </c>
      <c r="H177" s="0" t="s">
        <v>2705</v>
      </c>
      <c r="I177" s="0" t="s">
        <v>46</v>
      </c>
      <c r="J177" s="0" t="s">
        <v>46</v>
      </c>
      <c r="K177" s="0" t="s">
        <v>46</v>
      </c>
      <c r="L177" s="0" t="s">
        <v>46</v>
      </c>
      <c r="M177" s="0" t="s">
        <v>46</v>
      </c>
      <c r="N177" s="0" t="s">
        <v>46</v>
      </c>
      <c r="O177" s="0" t="s">
        <v>46</v>
      </c>
    </row>
    <row r="178" customFormat="false" ht="15" hidden="false" customHeight="false" outlineLevel="0" collapsed="false">
      <c r="A178" s="0" t="s">
        <v>2706</v>
      </c>
      <c r="B178" s="0" t="s">
        <v>1587</v>
      </c>
      <c r="C178" s="0" t="s">
        <v>1588</v>
      </c>
      <c r="D178" s="0" t="s">
        <v>1589</v>
      </c>
      <c r="E178" s="0" t="s">
        <v>46</v>
      </c>
      <c r="F178" s="0" t="s">
        <v>2707</v>
      </c>
      <c r="G178" s="0" t="s">
        <v>46</v>
      </c>
      <c r="H178" s="0" t="s">
        <v>46</v>
      </c>
      <c r="I178" s="0" t="s">
        <v>46</v>
      </c>
      <c r="J178" s="0" t="s">
        <v>46</v>
      </c>
      <c r="K178" s="0" t="s">
        <v>46</v>
      </c>
      <c r="L178" s="0" t="s">
        <v>46</v>
      </c>
      <c r="M178" s="0" t="s">
        <v>46</v>
      </c>
      <c r="N178" s="0" t="s">
        <v>46</v>
      </c>
      <c r="O178" s="0" t="s">
        <v>46</v>
      </c>
    </row>
    <row r="179" customFormat="false" ht="15" hidden="false" customHeight="false" outlineLevel="0" collapsed="false">
      <c r="A179" s="0" t="s">
        <v>2708</v>
      </c>
      <c r="B179" s="0" t="s">
        <v>142</v>
      </c>
      <c r="C179" s="0" t="s">
        <v>143</v>
      </c>
      <c r="D179" s="0" t="s">
        <v>144</v>
      </c>
      <c r="E179" s="0" t="s">
        <v>46</v>
      </c>
      <c r="F179" s="0" t="s">
        <v>2709</v>
      </c>
      <c r="G179" s="0" t="s">
        <v>2710</v>
      </c>
      <c r="H179" s="0" t="s">
        <v>2711</v>
      </c>
      <c r="I179" s="0" t="s">
        <v>46</v>
      </c>
      <c r="J179" s="0" t="s">
        <v>46</v>
      </c>
      <c r="K179" s="0" t="s">
        <v>46</v>
      </c>
      <c r="L179" s="0" t="s">
        <v>46</v>
      </c>
      <c r="M179" s="0" t="s">
        <v>46</v>
      </c>
      <c r="N179" s="0" t="s">
        <v>46</v>
      </c>
      <c r="O179" s="0" t="s">
        <v>46</v>
      </c>
    </row>
    <row r="180" customFormat="false" ht="15" hidden="false" customHeight="false" outlineLevel="0" collapsed="false">
      <c r="A180" s="0" t="s">
        <v>2712</v>
      </c>
      <c r="B180" s="0" t="s">
        <v>503</v>
      </c>
      <c r="C180" s="0" t="s">
        <v>504</v>
      </c>
      <c r="D180" s="0" t="s">
        <v>505</v>
      </c>
      <c r="E180" s="0" t="s">
        <v>46</v>
      </c>
      <c r="F180" s="0" t="s">
        <v>2713</v>
      </c>
      <c r="G180" s="0" t="s">
        <v>2714</v>
      </c>
      <c r="H180" s="0" t="s">
        <v>2715</v>
      </c>
      <c r="I180" s="0" t="s">
        <v>46</v>
      </c>
      <c r="J180" s="0" t="s">
        <v>46</v>
      </c>
      <c r="K180" s="0" t="s">
        <v>46</v>
      </c>
      <c r="L180" s="0" t="s">
        <v>46</v>
      </c>
      <c r="M180" s="0" t="s">
        <v>46</v>
      </c>
      <c r="N180" s="0" t="s">
        <v>46</v>
      </c>
      <c r="O180" s="0" t="s">
        <v>46</v>
      </c>
    </row>
    <row r="181" customFormat="false" ht="15" hidden="false" customHeight="false" outlineLevel="0" collapsed="false">
      <c r="A181" s="0" t="s">
        <v>2716</v>
      </c>
      <c r="B181" s="0" t="s">
        <v>46</v>
      </c>
      <c r="C181" s="0" t="s">
        <v>2717</v>
      </c>
      <c r="D181" s="0" t="s">
        <v>46</v>
      </c>
      <c r="E181" s="0" t="s">
        <v>46</v>
      </c>
      <c r="F181" s="0" t="s">
        <v>46</v>
      </c>
      <c r="G181" s="0" t="s">
        <v>2718</v>
      </c>
      <c r="H181" s="0" t="s">
        <v>46</v>
      </c>
      <c r="I181" s="0" t="s">
        <v>46</v>
      </c>
      <c r="J181" s="0" t="s">
        <v>46</v>
      </c>
      <c r="K181" s="0" t="s">
        <v>46</v>
      </c>
      <c r="L181" s="0" t="s">
        <v>46</v>
      </c>
      <c r="M181" s="0" t="s">
        <v>46</v>
      </c>
      <c r="N181" s="0" t="s">
        <v>46</v>
      </c>
      <c r="O181" s="0" t="s">
        <v>46</v>
      </c>
    </row>
    <row r="182" customFormat="false" ht="15" hidden="false" customHeight="false" outlineLevel="0" collapsed="false">
      <c r="A182" s="0" t="s">
        <v>2719</v>
      </c>
      <c r="B182" s="0" t="s">
        <v>46</v>
      </c>
      <c r="C182" s="0" t="s">
        <v>2720</v>
      </c>
      <c r="D182" s="0" t="s">
        <v>46</v>
      </c>
      <c r="E182" s="0" t="s">
        <v>46</v>
      </c>
      <c r="F182" s="0" t="s">
        <v>46</v>
      </c>
      <c r="G182" s="0" t="s">
        <v>2718</v>
      </c>
      <c r="H182" s="0" t="s">
        <v>46</v>
      </c>
      <c r="I182" s="0" t="s">
        <v>46</v>
      </c>
      <c r="J182" s="0" t="s">
        <v>46</v>
      </c>
      <c r="K182" s="0" t="s">
        <v>46</v>
      </c>
      <c r="L182" s="0" t="s">
        <v>46</v>
      </c>
      <c r="M182" s="0" t="s">
        <v>46</v>
      </c>
      <c r="N182" s="0" t="s">
        <v>46</v>
      </c>
      <c r="O182" s="0" t="s">
        <v>46</v>
      </c>
    </row>
    <row r="183" customFormat="false" ht="15" hidden="false" customHeight="false" outlineLevel="0" collapsed="false">
      <c r="A183" s="0" t="s">
        <v>2721</v>
      </c>
      <c r="B183" s="0" t="s">
        <v>46</v>
      </c>
      <c r="C183" s="0" t="s">
        <v>729</v>
      </c>
      <c r="D183" s="0" t="s">
        <v>730</v>
      </c>
      <c r="E183" s="0" t="s">
        <v>46</v>
      </c>
      <c r="F183" s="0" t="s">
        <v>2722</v>
      </c>
      <c r="G183" s="0" t="s">
        <v>2723</v>
      </c>
      <c r="H183" s="0" t="s">
        <v>46</v>
      </c>
      <c r="I183" s="0" t="s">
        <v>46</v>
      </c>
      <c r="J183" s="0" t="s">
        <v>46</v>
      </c>
      <c r="K183" s="0" t="s">
        <v>46</v>
      </c>
      <c r="L183" s="0" t="s">
        <v>46</v>
      </c>
      <c r="M183" s="0" t="s">
        <v>46</v>
      </c>
      <c r="N183" s="0" t="s">
        <v>46</v>
      </c>
      <c r="O183" s="0" t="s">
        <v>46</v>
      </c>
    </row>
    <row r="184" customFormat="false" ht="15" hidden="false" customHeight="false" outlineLevel="0" collapsed="false">
      <c r="A184" s="0" t="s">
        <v>2724</v>
      </c>
      <c r="B184" s="0" t="s">
        <v>46</v>
      </c>
      <c r="C184" s="0" t="s">
        <v>1305</v>
      </c>
      <c r="D184" s="0" t="s">
        <v>1306</v>
      </c>
      <c r="E184" s="0" t="s">
        <v>46</v>
      </c>
      <c r="F184" s="0" t="s">
        <v>2725</v>
      </c>
      <c r="G184" s="0" t="s">
        <v>2726</v>
      </c>
      <c r="H184" s="0" t="s">
        <v>2727</v>
      </c>
      <c r="I184" s="0" t="s">
        <v>46</v>
      </c>
      <c r="J184" s="0" t="s">
        <v>46</v>
      </c>
      <c r="K184" s="0" t="s">
        <v>46</v>
      </c>
      <c r="L184" s="0" t="s">
        <v>46</v>
      </c>
      <c r="M184" s="0" t="s">
        <v>46</v>
      </c>
      <c r="N184" s="0" t="s">
        <v>46</v>
      </c>
      <c r="O184" s="0" t="s">
        <v>46</v>
      </c>
    </row>
    <row r="185" customFormat="false" ht="15" hidden="false" customHeight="false" outlineLevel="0" collapsed="false">
      <c r="A185" s="0" t="s">
        <v>2728</v>
      </c>
      <c r="B185" s="0" t="s">
        <v>748</v>
      </c>
      <c r="C185" s="0" t="s">
        <v>749</v>
      </c>
      <c r="D185" s="0" t="s">
        <v>750</v>
      </c>
      <c r="E185" s="0" t="s">
        <v>46</v>
      </c>
      <c r="F185" s="0" t="s">
        <v>2729</v>
      </c>
      <c r="G185" s="0" t="s">
        <v>46</v>
      </c>
      <c r="H185" s="0" t="s">
        <v>46</v>
      </c>
      <c r="I185" s="0" t="s">
        <v>46</v>
      </c>
      <c r="J185" s="0" t="s">
        <v>46</v>
      </c>
      <c r="K185" s="0" t="s">
        <v>46</v>
      </c>
      <c r="L185" s="0" t="s">
        <v>46</v>
      </c>
      <c r="M185" s="0" t="s">
        <v>46</v>
      </c>
      <c r="N185" s="0" t="s">
        <v>46</v>
      </c>
      <c r="O185" s="0" t="s">
        <v>46</v>
      </c>
    </row>
    <row r="186" customFormat="false" ht="15" hidden="false" customHeight="false" outlineLevel="0" collapsed="false">
      <c r="A186" s="0" t="s">
        <v>2730</v>
      </c>
      <c r="B186" s="0" t="s">
        <v>1356</v>
      </c>
      <c r="C186" s="0" t="s">
        <v>1357</v>
      </c>
      <c r="D186" s="0" t="s">
        <v>1358</v>
      </c>
      <c r="E186" s="0" t="s">
        <v>46</v>
      </c>
      <c r="F186" s="0" t="s">
        <v>46</v>
      </c>
      <c r="G186" s="0" t="s">
        <v>2731</v>
      </c>
      <c r="H186" s="0" t="s">
        <v>2732</v>
      </c>
      <c r="I186" s="0" t="s">
        <v>46</v>
      </c>
      <c r="J186" s="0" t="s">
        <v>46</v>
      </c>
      <c r="K186" s="0" t="s">
        <v>46</v>
      </c>
      <c r="L186" s="0" t="s">
        <v>46</v>
      </c>
      <c r="M186" s="0" t="s">
        <v>46</v>
      </c>
      <c r="N186" s="0" t="s">
        <v>46</v>
      </c>
      <c r="O186" s="0" t="s">
        <v>46</v>
      </c>
    </row>
    <row r="187" customFormat="false" ht="15" hidden="false" customHeight="false" outlineLevel="0" collapsed="false">
      <c r="A187" s="0" t="s">
        <v>2733</v>
      </c>
      <c r="B187" s="0" t="s">
        <v>1429</v>
      </c>
      <c r="C187" s="0" t="s">
        <v>1430</v>
      </c>
      <c r="D187" s="0" t="s">
        <v>46</v>
      </c>
      <c r="E187" s="0" t="s">
        <v>46</v>
      </c>
      <c r="F187" s="0" t="s">
        <v>46</v>
      </c>
      <c r="G187" s="0" t="s">
        <v>2734</v>
      </c>
      <c r="H187" s="0" t="s">
        <v>2330</v>
      </c>
      <c r="I187" s="0" t="s">
        <v>46</v>
      </c>
      <c r="J187" s="0" t="s">
        <v>46</v>
      </c>
      <c r="K187" s="0" t="s">
        <v>46</v>
      </c>
      <c r="L187" s="0" t="s">
        <v>46</v>
      </c>
      <c r="M187" s="0" t="s">
        <v>46</v>
      </c>
      <c r="N187" s="0" t="s">
        <v>46</v>
      </c>
      <c r="O187" s="0" t="s">
        <v>46</v>
      </c>
    </row>
    <row r="188" customFormat="false" ht="15" hidden="false" customHeight="false" outlineLevel="0" collapsed="false">
      <c r="A188" s="0" t="s">
        <v>2735</v>
      </c>
      <c r="B188" s="0" t="s">
        <v>46</v>
      </c>
      <c r="C188" s="0" t="s">
        <v>2736</v>
      </c>
      <c r="D188" s="0" t="s">
        <v>46</v>
      </c>
      <c r="E188" s="0" t="s">
        <v>46</v>
      </c>
      <c r="F188" s="0" t="s">
        <v>46</v>
      </c>
      <c r="G188" s="0" t="s">
        <v>46</v>
      </c>
      <c r="H188" s="0" t="s">
        <v>46</v>
      </c>
      <c r="I188" s="0" t="s">
        <v>46</v>
      </c>
      <c r="J188" s="0" t="s">
        <v>46</v>
      </c>
      <c r="K188" s="0" t="s">
        <v>46</v>
      </c>
      <c r="L188" s="0" t="s">
        <v>46</v>
      </c>
      <c r="M188" s="0" t="s">
        <v>46</v>
      </c>
      <c r="N188" s="0" t="s">
        <v>46</v>
      </c>
      <c r="O188" s="0" t="s">
        <v>46</v>
      </c>
    </row>
    <row r="189" customFormat="false" ht="15" hidden="false" customHeight="false" outlineLevel="0" collapsed="false">
      <c r="A189" s="0" t="s">
        <v>2737</v>
      </c>
      <c r="B189" s="0" t="s">
        <v>46</v>
      </c>
      <c r="C189" s="0" t="s">
        <v>2738</v>
      </c>
      <c r="D189" s="0" t="s">
        <v>46</v>
      </c>
      <c r="E189" s="0" t="s">
        <v>46</v>
      </c>
      <c r="F189" s="0" t="s">
        <v>46</v>
      </c>
      <c r="G189" s="0" t="s">
        <v>46</v>
      </c>
      <c r="H189" s="0" t="s">
        <v>46</v>
      </c>
      <c r="I189" s="0" t="s">
        <v>46</v>
      </c>
      <c r="J189" s="0" t="s">
        <v>46</v>
      </c>
      <c r="K189" s="0" t="s">
        <v>46</v>
      </c>
      <c r="L189" s="0" t="s">
        <v>46</v>
      </c>
      <c r="M189" s="0" t="s">
        <v>46</v>
      </c>
      <c r="N189" s="0" t="s">
        <v>46</v>
      </c>
      <c r="O189" s="0" t="s">
        <v>46</v>
      </c>
    </row>
    <row r="190" customFormat="false" ht="15" hidden="false" customHeight="false" outlineLevel="0" collapsed="false">
      <c r="A190" s="0" t="s">
        <v>2739</v>
      </c>
      <c r="B190" s="0" t="s">
        <v>1461</v>
      </c>
      <c r="C190" s="0" t="s">
        <v>1462</v>
      </c>
      <c r="D190" s="0" t="s">
        <v>1463</v>
      </c>
      <c r="E190" s="0" t="s">
        <v>46</v>
      </c>
      <c r="F190" s="0" t="s">
        <v>2740</v>
      </c>
      <c r="G190" s="0" t="s">
        <v>2741</v>
      </c>
      <c r="H190" s="0" t="s">
        <v>2742</v>
      </c>
      <c r="I190" s="0" t="s">
        <v>46</v>
      </c>
      <c r="J190" s="0" t="s">
        <v>46</v>
      </c>
      <c r="K190" s="0" t="s">
        <v>46</v>
      </c>
      <c r="L190" s="0" t="s">
        <v>46</v>
      </c>
      <c r="M190" s="0" t="s">
        <v>46</v>
      </c>
      <c r="N190" s="0" t="s">
        <v>46</v>
      </c>
      <c r="O190" s="0" t="s">
        <v>46</v>
      </c>
    </row>
    <row r="191" customFormat="false" ht="15" hidden="false" customHeight="false" outlineLevel="0" collapsed="false">
      <c r="A191" s="0" t="s">
        <v>2743</v>
      </c>
      <c r="B191" s="0" t="s">
        <v>46</v>
      </c>
      <c r="C191" s="0" t="s">
        <v>1027</v>
      </c>
      <c r="D191" s="0" t="s">
        <v>46</v>
      </c>
      <c r="E191" s="0" t="s">
        <v>46</v>
      </c>
      <c r="F191" s="0" t="s">
        <v>46</v>
      </c>
      <c r="G191" s="0" t="s">
        <v>46</v>
      </c>
      <c r="H191" s="0" t="s">
        <v>46</v>
      </c>
      <c r="I191" s="0" t="s">
        <v>46</v>
      </c>
      <c r="J191" s="0" t="s">
        <v>46</v>
      </c>
      <c r="K191" s="0" t="s">
        <v>46</v>
      </c>
      <c r="L191" s="0" t="s">
        <v>46</v>
      </c>
      <c r="M191" s="0" t="s">
        <v>46</v>
      </c>
      <c r="N191" s="0" t="s">
        <v>46</v>
      </c>
      <c r="O191" s="0" t="s">
        <v>46</v>
      </c>
    </row>
    <row r="192" customFormat="false" ht="15" hidden="false" customHeight="false" outlineLevel="0" collapsed="false">
      <c r="A192" s="0" t="s">
        <v>2744</v>
      </c>
      <c r="B192" s="0" t="s">
        <v>1786</v>
      </c>
      <c r="C192" s="0" t="s">
        <v>1787</v>
      </c>
      <c r="D192" s="0" t="s">
        <v>1788</v>
      </c>
      <c r="E192" s="0" t="s">
        <v>46</v>
      </c>
      <c r="F192" s="0" t="s">
        <v>46</v>
      </c>
      <c r="G192" s="0" t="s">
        <v>2745</v>
      </c>
      <c r="H192" s="0" t="s">
        <v>2746</v>
      </c>
      <c r="I192" s="0" t="s">
        <v>46</v>
      </c>
      <c r="J192" s="0" t="s">
        <v>46</v>
      </c>
      <c r="K192" s="0" t="s">
        <v>46</v>
      </c>
      <c r="L192" s="0" t="s">
        <v>46</v>
      </c>
      <c r="M192" s="0" t="s">
        <v>46</v>
      </c>
      <c r="N192" s="0" t="s">
        <v>46</v>
      </c>
      <c r="O192" s="0" t="s">
        <v>46</v>
      </c>
    </row>
    <row r="193" customFormat="false" ht="15" hidden="false" customHeight="false" outlineLevel="0" collapsed="false">
      <c r="A193" s="0" t="s">
        <v>2747</v>
      </c>
      <c r="B193" s="0" t="s">
        <v>1632</v>
      </c>
      <c r="C193" s="0" t="s">
        <v>1633</v>
      </c>
      <c r="D193" s="0" t="s">
        <v>1634</v>
      </c>
      <c r="E193" s="0" t="s">
        <v>46</v>
      </c>
      <c r="F193" s="0" t="s">
        <v>2748</v>
      </c>
      <c r="G193" s="0" t="s">
        <v>2749</v>
      </c>
      <c r="H193" s="0" t="s">
        <v>2235</v>
      </c>
      <c r="I193" s="0" t="s">
        <v>46</v>
      </c>
      <c r="J193" s="0" t="s">
        <v>46</v>
      </c>
      <c r="K193" s="0" t="s">
        <v>46</v>
      </c>
      <c r="L193" s="0" t="s">
        <v>46</v>
      </c>
      <c r="M193" s="0" t="s">
        <v>46</v>
      </c>
      <c r="N193" s="0" t="s">
        <v>46</v>
      </c>
      <c r="O193" s="0" t="s">
        <v>46</v>
      </c>
    </row>
    <row r="194" customFormat="false" ht="15" hidden="false" customHeight="false" outlineLevel="0" collapsed="false">
      <c r="A194" s="0" t="s">
        <v>2750</v>
      </c>
      <c r="B194" s="0" t="s">
        <v>554</v>
      </c>
      <c r="C194" s="0" t="s">
        <v>555</v>
      </c>
      <c r="D194" s="0" t="s">
        <v>46</v>
      </c>
      <c r="E194" s="0" t="s">
        <v>46</v>
      </c>
      <c r="F194" s="0" t="s">
        <v>2751</v>
      </c>
      <c r="G194" s="0" t="s">
        <v>2752</v>
      </c>
      <c r="H194" s="0" t="s">
        <v>2753</v>
      </c>
      <c r="I194" s="0" t="s">
        <v>46</v>
      </c>
      <c r="J194" s="0" t="s">
        <v>46</v>
      </c>
      <c r="K194" s="0" t="s">
        <v>46</v>
      </c>
      <c r="L194" s="0" t="s">
        <v>46</v>
      </c>
      <c r="M194" s="0" t="s">
        <v>46</v>
      </c>
      <c r="N194" s="0" t="s">
        <v>46</v>
      </c>
      <c r="O194" s="0" t="s">
        <v>46</v>
      </c>
    </row>
    <row r="195" customFormat="false" ht="15" hidden="false" customHeight="false" outlineLevel="0" collapsed="false">
      <c r="A195" s="0" t="s">
        <v>2754</v>
      </c>
      <c r="B195" s="0" t="s">
        <v>1797</v>
      </c>
      <c r="C195" s="0" t="s">
        <v>1798</v>
      </c>
      <c r="D195" s="0" t="s">
        <v>1799</v>
      </c>
      <c r="E195" s="0" t="s">
        <v>46</v>
      </c>
      <c r="F195" s="0" t="s">
        <v>2755</v>
      </c>
      <c r="G195" s="0" t="s">
        <v>46</v>
      </c>
      <c r="H195" s="0" t="s">
        <v>46</v>
      </c>
      <c r="I195" s="0" t="s">
        <v>46</v>
      </c>
      <c r="J195" s="0" t="s">
        <v>46</v>
      </c>
      <c r="K195" s="0" t="s">
        <v>46</v>
      </c>
      <c r="L195" s="0" t="s">
        <v>46</v>
      </c>
      <c r="M195" s="0" t="s">
        <v>46</v>
      </c>
      <c r="N195" s="0" t="s">
        <v>46</v>
      </c>
      <c r="O195" s="0" t="s">
        <v>46</v>
      </c>
    </row>
    <row r="196" customFormat="false" ht="15" hidden="false" customHeight="false" outlineLevel="0" collapsed="false">
      <c r="A196" s="0" t="s">
        <v>2756</v>
      </c>
      <c r="B196" s="0" t="s">
        <v>467</v>
      </c>
      <c r="C196" s="0" t="s">
        <v>468</v>
      </c>
      <c r="D196" s="0" t="s">
        <v>46</v>
      </c>
      <c r="E196" s="0" t="s">
        <v>46</v>
      </c>
      <c r="F196" s="0" t="s">
        <v>46</v>
      </c>
      <c r="G196" s="0" t="s">
        <v>46</v>
      </c>
      <c r="H196" s="0" t="s">
        <v>46</v>
      </c>
      <c r="I196" s="0" t="s">
        <v>46</v>
      </c>
      <c r="J196" s="0" t="s">
        <v>46</v>
      </c>
      <c r="K196" s="0" t="s">
        <v>46</v>
      </c>
      <c r="L196" s="0" t="s">
        <v>46</v>
      </c>
      <c r="M196" s="0" t="s">
        <v>46</v>
      </c>
      <c r="N196" s="0" t="s">
        <v>46</v>
      </c>
      <c r="O196" s="0" t="s">
        <v>46</v>
      </c>
    </row>
    <row r="197" customFormat="false" ht="15" hidden="false" customHeight="false" outlineLevel="0" collapsed="false">
      <c r="A197" s="0" t="s">
        <v>2757</v>
      </c>
      <c r="B197" s="0" t="s">
        <v>2758</v>
      </c>
      <c r="C197" s="0" t="s">
        <v>2759</v>
      </c>
      <c r="D197" s="0" t="s">
        <v>2760</v>
      </c>
      <c r="E197" s="0" t="s">
        <v>46</v>
      </c>
      <c r="F197" s="0" t="s">
        <v>46</v>
      </c>
      <c r="G197" s="0" t="s">
        <v>2761</v>
      </c>
      <c r="H197" s="0" t="s">
        <v>2762</v>
      </c>
      <c r="I197" s="0" t="s">
        <v>46</v>
      </c>
      <c r="J197" s="0" t="s">
        <v>46</v>
      </c>
      <c r="K197" s="0" t="s">
        <v>46</v>
      </c>
      <c r="L197" s="0" t="s">
        <v>46</v>
      </c>
      <c r="M197" s="0" t="s">
        <v>46</v>
      </c>
      <c r="N197" s="0" t="s">
        <v>46</v>
      </c>
      <c r="O197" s="0" t="s">
        <v>46</v>
      </c>
    </row>
    <row r="198" customFormat="false" ht="15" hidden="false" customHeight="false" outlineLevel="0" collapsed="false">
      <c r="A198" s="0" t="s">
        <v>2763</v>
      </c>
      <c r="B198" s="0" t="s">
        <v>1758</v>
      </c>
      <c r="C198" s="0" t="s">
        <v>1759</v>
      </c>
      <c r="D198" s="0" t="s">
        <v>1760</v>
      </c>
      <c r="E198" s="0" t="s">
        <v>46</v>
      </c>
      <c r="F198" s="0" t="s">
        <v>46</v>
      </c>
      <c r="G198" s="0" t="s">
        <v>2764</v>
      </c>
      <c r="H198" s="0" t="s">
        <v>2765</v>
      </c>
      <c r="I198" s="0" t="s">
        <v>46</v>
      </c>
      <c r="J198" s="0" t="s">
        <v>46</v>
      </c>
      <c r="K198" s="0" t="s">
        <v>46</v>
      </c>
      <c r="L198" s="0" t="s">
        <v>46</v>
      </c>
      <c r="M198" s="0" t="s">
        <v>46</v>
      </c>
      <c r="N198" s="0" t="s">
        <v>46</v>
      </c>
      <c r="O198" s="0" t="s">
        <v>46</v>
      </c>
    </row>
    <row r="199" customFormat="false" ht="15" hidden="false" customHeight="false" outlineLevel="0" collapsed="false">
      <c r="A199" s="0" t="s">
        <v>2766</v>
      </c>
      <c r="B199" s="0" t="s">
        <v>106</v>
      </c>
      <c r="C199" s="0" t="s">
        <v>107</v>
      </c>
      <c r="D199" s="0" t="s">
        <v>108</v>
      </c>
      <c r="E199" s="0" t="s">
        <v>46</v>
      </c>
      <c r="F199" s="0" t="s">
        <v>2767</v>
      </c>
      <c r="G199" s="0" t="s">
        <v>2768</v>
      </c>
      <c r="H199" s="0" t="s">
        <v>2769</v>
      </c>
      <c r="I199" s="0" t="s">
        <v>46</v>
      </c>
      <c r="J199" s="0" t="s">
        <v>46</v>
      </c>
      <c r="K199" s="0" t="s">
        <v>46</v>
      </c>
      <c r="L199" s="0" t="s">
        <v>46</v>
      </c>
      <c r="M199" s="0" t="s">
        <v>46</v>
      </c>
      <c r="N199" s="0" t="s">
        <v>46</v>
      </c>
      <c r="O199" s="0" t="s">
        <v>46</v>
      </c>
    </row>
    <row r="200" customFormat="false" ht="15" hidden="false" customHeight="false" outlineLevel="0" collapsed="false">
      <c r="A200" s="0" t="s">
        <v>705</v>
      </c>
      <c r="B200" s="0" t="s">
        <v>704</v>
      </c>
      <c r="C200" s="0" t="s">
        <v>705</v>
      </c>
      <c r="D200" s="0" t="s">
        <v>46</v>
      </c>
      <c r="E200" s="0" t="s">
        <v>46</v>
      </c>
      <c r="F200" s="0" t="s">
        <v>46</v>
      </c>
      <c r="G200" s="0" t="s">
        <v>46</v>
      </c>
      <c r="H200" s="0" t="s">
        <v>46</v>
      </c>
      <c r="I200" s="0" t="s">
        <v>46</v>
      </c>
      <c r="J200" s="0" t="s">
        <v>46</v>
      </c>
      <c r="K200" s="0" t="s">
        <v>46</v>
      </c>
      <c r="L200" s="0" t="s">
        <v>46</v>
      </c>
      <c r="M200" s="0" t="s">
        <v>46</v>
      </c>
      <c r="N200" s="0" t="s">
        <v>46</v>
      </c>
      <c r="O200" s="0" t="s">
        <v>46</v>
      </c>
    </row>
    <row r="201" customFormat="false" ht="15" hidden="false" customHeight="false" outlineLevel="0" collapsed="false">
      <c r="A201" s="0" t="s">
        <v>2770</v>
      </c>
      <c r="B201" s="0" t="s">
        <v>2771</v>
      </c>
      <c r="C201" s="0" t="s">
        <v>2770</v>
      </c>
      <c r="D201" s="0" t="s">
        <v>46</v>
      </c>
      <c r="E201" s="0" t="s">
        <v>46</v>
      </c>
      <c r="F201" s="0" t="s">
        <v>46</v>
      </c>
      <c r="G201" s="0" t="s">
        <v>2772</v>
      </c>
      <c r="H201" s="0" t="s">
        <v>2172</v>
      </c>
      <c r="I201" s="0" t="s">
        <v>46</v>
      </c>
      <c r="J201" s="0" t="s">
        <v>46</v>
      </c>
      <c r="K201" s="0" t="s">
        <v>46</v>
      </c>
      <c r="L201" s="0" t="s">
        <v>46</v>
      </c>
      <c r="M201" s="0" t="s">
        <v>46</v>
      </c>
      <c r="N201" s="0" t="s">
        <v>46</v>
      </c>
      <c r="O201" s="0" t="s">
        <v>46</v>
      </c>
    </row>
    <row r="202" customFormat="false" ht="15" hidden="false" customHeight="false" outlineLevel="0" collapsed="false">
      <c r="A202" s="0" t="s">
        <v>1940</v>
      </c>
      <c r="B202" s="0" t="s">
        <v>46</v>
      </c>
      <c r="C202" s="0" t="s">
        <v>1940</v>
      </c>
      <c r="D202" s="0" t="s">
        <v>46</v>
      </c>
      <c r="E202" s="0" t="s">
        <v>46</v>
      </c>
      <c r="F202" s="0" t="s">
        <v>46</v>
      </c>
      <c r="G202" s="0" t="s">
        <v>46</v>
      </c>
      <c r="H202" s="0" t="s">
        <v>46</v>
      </c>
      <c r="I202" s="0" t="s">
        <v>46</v>
      </c>
      <c r="J202" s="0" t="s">
        <v>46</v>
      </c>
      <c r="K202" s="0" t="s">
        <v>46</v>
      </c>
      <c r="L202" s="0" t="s">
        <v>46</v>
      </c>
      <c r="M202" s="0" t="s">
        <v>46</v>
      </c>
      <c r="N202" s="0" t="s">
        <v>46</v>
      </c>
      <c r="O202" s="0" t="s">
        <v>46</v>
      </c>
    </row>
    <row r="203" customFormat="false" ht="15" hidden="false" customHeight="false" outlineLevel="0" collapsed="false">
      <c r="A203" s="0" t="s">
        <v>1501</v>
      </c>
      <c r="B203" s="0" t="s">
        <v>1500</v>
      </c>
      <c r="C203" s="0" t="s">
        <v>1501</v>
      </c>
      <c r="D203" s="0" t="s">
        <v>46</v>
      </c>
      <c r="E203" s="0" t="s">
        <v>46</v>
      </c>
      <c r="F203" s="0" t="s">
        <v>46</v>
      </c>
      <c r="G203" s="0" t="s">
        <v>2773</v>
      </c>
      <c r="H203" s="0" t="s">
        <v>2413</v>
      </c>
      <c r="I203" s="0" t="s">
        <v>46</v>
      </c>
      <c r="J203" s="0" t="s">
        <v>46</v>
      </c>
      <c r="K203" s="0" t="s">
        <v>46</v>
      </c>
      <c r="L203" s="0" t="s">
        <v>46</v>
      </c>
      <c r="M203" s="0" t="s">
        <v>46</v>
      </c>
      <c r="N203" s="0" t="s">
        <v>46</v>
      </c>
      <c r="O203" s="0" t="s">
        <v>46</v>
      </c>
    </row>
    <row r="204" customFormat="false" ht="15" hidden="false" customHeight="false" outlineLevel="0" collapsed="false">
      <c r="A204" s="0" t="s">
        <v>2774</v>
      </c>
      <c r="B204" s="0" t="s">
        <v>743</v>
      </c>
      <c r="C204" s="0" t="s">
        <v>744</v>
      </c>
      <c r="D204" s="0" t="s">
        <v>745</v>
      </c>
      <c r="E204" s="0" t="s">
        <v>46</v>
      </c>
      <c r="F204" s="0" t="s">
        <v>46</v>
      </c>
      <c r="G204" s="0" t="s">
        <v>46</v>
      </c>
      <c r="H204" s="0" t="s">
        <v>46</v>
      </c>
      <c r="I204" s="0" t="s">
        <v>46</v>
      </c>
      <c r="J204" s="0" t="s">
        <v>46</v>
      </c>
      <c r="K204" s="0" t="s">
        <v>46</v>
      </c>
      <c r="L204" s="0" t="s">
        <v>46</v>
      </c>
      <c r="M204" s="0" t="s">
        <v>46</v>
      </c>
      <c r="N204" s="0" t="s">
        <v>46</v>
      </c>
      <c r="O204" s="0" t="s">
        <v>46</v>
      </c>
    </row>
    <row r="205" customFormat="false" ht="15" hidden="false" customHeight="false" outlineLevel="0" collapsed="false">
      <c r="A205" s="0" t="s">
        <v>2775</v>
      </c>
      <c r="B205" s="0" t="s">
        <v>709</v>
      </c>
      <c r="C205" s="0" t="s">
        <v>710</v>
      </c>
      <c r="D205" s="0" t="s">
        <v>46</v>
      </c>
      <c r="E205" s="0" t="s">
        <v>46</v>
      </c>
      <c r="F205" s="0" t="s">
        <v>46</v>
      </c>
      <c r="G205" s="0" t="s">
        <v>46</v>
      </c>
      <c r="H205" s="0" t="s">
        <v>46</v>
      </c>
      <c r="I205" s="0" t="s">
        <v>46</v>
      </c>
      <c r="J205" s="0" t="s">
        <v>46</v>
      </c>
      <c r="K205" s="0" t="s">
        <v>46</v>
      </c>
      <c r="L205" s="0" t="s">
        <v>46</v>
      </c>
      <c r="M205" s="0" t="s">
        <v>46</v>
      </c>
      <c r="N205" s="0" t="s">
        <v>46</v>
      </c>
      <c r="O205" s="0" t="s">
        <v>46</v>
      </c>
    </row>
    <row r="206" customFormat="false" ht="15" hidden="false" customHeight="false" outlineLevel="0" collapsed="false">
      <c r="A206" s="0" t="s">
        <v>2776</v>
      </c>
      <c r="B206" s="0" t="s">
        <v>332</v>
      </c>
      <c r="C206" s="0" t="s">
        <v>333</v>
      </c>
      <c r="D206" s="0" t="s">
        <v>334</v>
      </c>
      <c r="E206" s="0" t="s">
        <v>46</v>
      </c>
      <c r="F206" s="0" t="s">
        <v>2777</v>
      </c>
      <c r="G206" s="0" t="s">
        <v>46</v>
      </c>
      <c r="H206" s="0" t="s">
        <v>46</v>
      </c>
      <c r="I206" s="0" t="s">
        <v>46</v>
      </c>
      <c r="J206" s="0" t="s">
        <v>46</v>
      </c>
      <c r="K206" s="0" t="s">
        <v>46</v>
      </c>
      <c r="L206" s="0" t="s">
        <v>46</v>
      </c>
      <c r="M206" s="0" t="s">
        <v>46</v>
      </c>
      <c r="N206" s="0" t="s">
        <v>46</v>
      </c>
      <c r="O206" s="0" t="s">
        <v>46</v>
      </c>
    </row>
    <row r="207" customFormat="false" ht="15" hidden="false" customHeight="false" outlineLevel="0" collapsed="false">
      <c r="A207" s="0" t="s">
        <v>2778</v>
      </c>
      <c r="B207" s="0" t="s">
        <v>1803</v>
      </c>
      <c r="C207" s="0" t="s">
        <v>1804</v>
      </c>
      <c r="D207" s="0" t="s">
        <v>46</v>
      </c>
      <c r="E207" s="0" t="s">
        <v>46</v>
      </c>
      <c r="F207" s="0" t="s">
        <v>46</v>
      </c>
      <c r="G207" s="0" t="s">
        <v>46</v>
      </c>
      <c r="H207" s="0" t="s">
        <v>46</v>
      </c>
      <c r="I207" s="0" t="s">
        <v>46</v>
      </c>
      <c r="J207" s="0" t="s">
        <v>46</v>
      </c>
      <c r="K207" s="0" t="s">
        <v>46</v>
      </c>
      <c r="L207" s="0" t="s">
        <v>46</v>
      </c>
      <c r="M207" s="0" t="s">
        <v>46</v>
      </c>
      <c r="N207" s="0" t="s">
        <v>46</v>
      </c>
      <c r="O207" s="0" t="s">
        <v>46</v>
      </c>
    </row>
    <row r="208" customFormat="false" ht="15" hidden="false" customHeight="false" outlineLevel="0" collapsed="false">
      <c r="A208" s="0" t="s">
        <v>2779</v>
      </c>
      <c r="B208" s="0" t="s">
        <v>1763</v>
      </c>
      <c r="C208" s="0" t="s">
        <v>1764</v>
      </c>
      <c r="D208" s="0" t="s">
        <v>1765</v>
      </c>
      <c r="E208" s="0" t="s">
        <v>46</v>
      </c>
      <c r="F208" s="0" t="s">
        <v>2780</v>
      </c>
      <c r="G208" s="0" t="s">
        <v>2781</v>
      </c>
      <c r="H208" s="0" t="s">
        <v>2310</v>
      </c>
      <c r="I208" s="0" t="s">
        <v>46</v>
      </c>
      <c r="J208" s="0" t="s">
        <v>46</v>
      </c>
      <c r="K208" s="0" t="s">
        <v>46</v>
      </c>
      <c r="L208" s="0" t="s">
        <v>46</v>
      </c>
      <c r="M208" s="0" t="s">
        <v>46</v>
      </c>
      <c r="N208" s="0" t="s">
        <v>46</v>
      </c>
      <c r="O208" s="0" t="s">
        <v>46</v>
      </c>
    </row>
    <row r="209" customFormat="false" ht="15" hidden="false" customHeight="false" outlineLevel="0" collapsed="false">
      <c r="A209" s="0" t="s">
        <v>2782</v>
      </c>
      <c r="B209" s="0" t="s">
        <v>1183</v>
      </c>
      <c r="C209" s="0" t="s">
        <v>1184</v>
      </c>
      <c r="D209" s="0" t="s">
        <v>1185</v>
      </c>
      <c r="E209" s="0" t="s">
        <v>46</v>
      </c>
      <c r="F209" s="0" t="s">
        <v>2783</v>
      </c>
      <c r="G209" s="0" t="s">
        <v>2784</v>
      </c>
      <c r="H209" s="0" t="s">
        <v>2785</v>
      </c>
      <c r="I209" s="0" t="s">
        <v>46</v>
      </c>
      <c r="J209" s="0" t="s">
        <v>46</v>
      </c>
      <c r="K209" s="0" t="s">
        <v>46</v>
      </c>
      <c r="L209" s="0" t="s">
        <v>46</v>
      </c>
      <c r="M209" s="0" t="s">
        <v>46</v>
      </c>
      <c r="N209" s="0" t="s">
        <v>46</v>
      </c>
      <c r="O209" s="0" t="s">
        <v>46</v>
      </c>
    </row>
    <row r="210" customFormat="false" ht="15" hidden="false" customHeight="false" outlineLevel="0" collapsed="false">
      <c r="A210" s="0" t="s">
        <v>2786</v>
      </c>
      <c r="B210" s="0" t="s">
        <v>46</v>
      </c>
      <c r="C210" s="0" t="s">
        <v>1271</v>
      </c>
      <c r="D210" s="0" t="s">
        <v>1272</v>
      </c>
      <c r="E210" s="0" t="s">
        <v>46</v>
      </c>
      <c r="F210" s="0" t="s">
        <v>2787</v>
      </c>
      <c r="G210" s="0" t="s">
        <v>2788</v>
      </c>
      <c r="H210" s="0" t="s">
        <v>2789</v>
      </c>
      <c r="I210" s="0" t="s">
        <v>46</v>
      </c>
      <c r="J210" s="0" t="s">
        <v>46</v>
      </c>
      <c r="K210" s="0" t="s">
        <v>46</v>
      </c>
      <c r="L210" s="0" t="s">
        <v>46</v>
      </c>
      <c r="M210" s="0" t="s">
        <v>46</v>
      </c>
      <c r="N210" s="0" t="s">
        <v>46</v>
      </c>
      <c r="O210" s="0" t="s">
        <v>46</v>
      </c>
    </row>
    <row r="211" customFormat="false" ht="15" hidden="false" customHeight="false" outlineLevel="0" collapsed="false">
      <c r="A211" s="0" t="s">
        <v>2790</v>
      </c>
      <c r="B211" s="0" t="s">
        <v>46</v>
      </c>
      <c r="C211" s="0" t="s">
        <v>2791</v>
      </c>
      <c r="D211" s="0" t="s">
        <v>46</v>
      </c>
      <c r="E211" s="0" t="s">
        <v>46</v>
      </c>
      <c r="F211" s="0" t="s">
        <v>46</v>
      </c>
      <c r="G211" s="0" t="s">
        <v>46</v>
      </c>
      <c r="H211" s="0" t="s">
        <v>46</v>
      </c>
      <c r="I211" s="0" t="s">
        <v>46</v>
      </c>
      <c r="J211" s="0" t="s">
        <v>46</v>
      </c>
      <c r="K211" s="0" t="s">
        <v>46</v>
      </c>
      <c r="L211" s="0" t="s">
        <v>46</v>
      </c>
      <c r="M211" s="0" t="s">
        <v>46</v>
      </c>
      <c r="N211" s="0" t="s">
        <v>46</v>
      </c>
      <c r="O211" s="0" t="s">
        <v>46</v>
      </c>
    </row>
    <row r="212" customFormat="false" ht="15" hidden="false" customHeight="false" outlineLevel="0" collapsed="false">
      <c r="A212" s="0" t="s">
        <v>2792</v>
      </c>
      <c r="B212" s="0" t="s">
        <v>46</v>
      </c>
      <c r="C212" s="0" t="s">
        <v>2793</v>
      </c>
      <c r="D212" s="0" t="s">
        <v>46</v>
      </c>
      <c r="E212" s="0" t="s">
        <v>46</v>
      </c>
      <c r="F212" s="0" t="s">
        <v>46</v>
      </c>
      <c r="G212" s="0" t="s">
        <v>46</v>
      </c>
      <c r="H212" s="0" t="s">
        <v>46</v>
      </c>
      <c r="I212" s="0" t="s">
        <v>46</v>
      </c>
      <c r="J212" s="0" t="s">
        <v>46</v>
      </c>
      <c r="K212" s="0" t="s">
        <v>46</v>
      </c>
      <c r="L212" s="0" t="s">
        <v>46</v>
      </c>
      <c r="M212" s="0" t="s">
        <v>46</v>
      </c>
      <c r="N212" s="0" t="s">
        <v>46</v>
      </c>
      <c r="O212" s="0" t="s">
        <v>46</v>
      </c>
    </row>
    <row r="213" customFormat="false" ht="15" hidden="false" customHeight="false" outlineLevel="0" collapsed="false">
      <c r="A213" s="0" t="s">
        <v>2794</v>
      </c>
      <c r="B213" s="0" t="s">
        <v>821</v>
      </c>
      <c r="C213" s="0" t="s">
        <v>822</v>
      </c>
      <c r="D213" s="0" t="s">
        <v>823</v>
      </c>
      <c r="E213" s="0" t="s">
        <v>46</v>
      </c>
      <c r="F213" s="0" t="s">
        <v>2795</v>
      </c>
      <c r="G213" s="0" t="s">
        <v>2796</v>
      </c>
      <c r="H213" s="0" t="s">
        <v>2797</v>
      </c>
      <c r="I213" s="0" t="s">
        <v>46</v>
      </c>
      <c r="J213" s="0" t="s">
        <v>46</v>
      </c>
      <c r="K213" s="0" t="s">
        <v>46</v>
      </c>
      <c r="L213" s="0" t="s">
        <v>46</v>
      </c>
      <c r="M213" s="0" t="s">
        <v>46</v>
      </c>
      <c r="N213" s="0" t="s">
        <v>46</v>
      </c>
      <c r="O213" s="0" t="s">
        <v>46</v>
      </c>
    </row>
    <row r="214" customFormat="false" ht="15" hidden="false" customHeight="false" outlineLevel="0" collapsed="false">
      <c r="A214" s="0" t="s">
        <v>2798</v>
      </c>
      <c r="B214" s="0" t="s">
        <v>1474</v>
      </c>
      <c r="C214" s="0" t="s">
        <v>1475</v>
      </c>
      <c r="D214" s="0" t="s">
        <v>1476</v>
      </c>
      <c r="E214" s="0" t="s">
        <v>46</v>
      </c>
      <c r="F214" s="0" t="s">
        <v>46</v>
      </c>
      <c r="G214" s="0" t="s">
        <v>46</v>
      </c>
      <c r="H214" s="0" t="s">
        <v>46</v>
      </c>
      <c r="I214" s="0" t="s">
        <v>46</v>
      </c>
      <c r="J214" s="0" t="s">
        <v>46</v>
      </c>
      <c r="K214" s="0" t="s">
        <v>46</v>
      </c>
      <c r="L214" s="0" t="s">
        <v>46</v>
      </c>
      <c r="M214" s="0" t="s">
        <v>46</v>
      </c>
      <c r="N214" s="0" t="s">
        <v>46</v>
      </c>
      <c r="O214" s="0" t="s">
        <v>46</v>
      </c>
    </row>
    <row r="215" customFormat="false" ht="15" hidden="false" customHeight="false" outlineLevel="0" collapsed="false">
      <c r="A215" s="0" t="s">
        <v>2799</v>
      </c>
      <c r="B215" s="0" t="s">
        <v>46</v>
      </c>
      <c r="C215" s="0" t="s">
        <v>1989</v>
      </c>
      <c r="D215" s="0" t="s">
        <v>46</v>
      </c>
      <c r="E215" s="0" t="s">
        <v>46</v>
      </c>
      <c r="F215" s="0" t="s">
        <v>46</v>
      </c>
      <c r="G215" s="0" t="s">
        <v>46</v>
      </c>
      <c r="H215" s="0" t="s">
        <v>46</v>
      </c>
      <c r="I215" s="0" t="s">
        <v>46</v>
      </c>
      <c r="J215" s="0" t="s">
        <v>46</v>
      </c>
      <c r="K215" s="0" t="s">
        <v>46</v>
      </c>
      <c r="L215" s="0" t="s">
        <v>46</v>
      </c>
      <c r="M215" s="0" t="s">
        <v>46</v>
      </c>
      <c r="N215" s="0" t="s">
        <v>46</v>
      </c>
      <c r="O215" s="0" t="s">
        <v>46</v>
      </c>
    </row>
    <row r="216" customFormat="false" ht="15" hidden="false" customHeight="false" outlineLevel="0" collapsed="false">
      <c r="A216" s="0" t="s">
        <v>2800</v>
      </c>
      <c r="B216" s="0" t="s">
        <v>898</v>
      </c>
      <c r="C216" s="0" t="s">
        <v>899</v>
      </c>
      <c r="D216" s="0" t="s">
        <v>900</v>
      </c>
      <c r="E216" s="0" t="s">
        <v>46</v>
      </c>
      <c r="F216" s="0" t="s">
        <v>46</v>
      </c>
      <c r="G216" s="0" t="s">
        <v>2801</v>
      </c>
      <c r="H216" s="0" t="s">
        <v>2802</v>
      </c>
      <c r="I216" s="0" t="s">
        <v>46</v>
      </c>
      <c r="J216" s="0" t="s">
        <v>46</v>
      </c>
      <c r="K216" s="0" t="s">
        <v>46</v>
      </c>
      <c r="L216" s="0" t="s">
        <v>46</v>
      </c>
      <c r="M216" s="0" t="s">
        <v>46</v>
      </c>
      <c r="N216" s="0" t="s">
        <v>46</v>
      </c>
      <c r="O216" s="0" t="s">
        <v>46</v>
      </c>
    </row>
    <row r="217" customFormat="false" ht="15" hidden="false" customHeight="false" outlineLevel="0" collapsed="false">
      <c r="A217" s="0" t="s">
        <v>2803</v>
      </c>
      <c r="B217" s="0" t="s">
        <v>46</v>
      </c>
      <c r="C217" s="0" t="s">
        <v>1220</v>
      </c>
      <c r="D217" s="0" t="s">
        <v>1221</v>
      </c>
      <c r="E217" s="0" t="s">
        <v>46</v>
      </c>
      <c r="F217" s="0" t="s">
        <v>46</v>
      </c>
      <c r="G217" s="0" t="s">
        <v>46</v>
      </c>
      <c r="H217" s="0" t="s">
        <v>46</v>
      </c>
      <c r="I217" s="0" t="s">
        <v>46</v>
      </c>
      <c r="J217" s="0" t="s">
        <v>46</v>
      </c>
      <c r="K217" s="0" t="s">
        <v>46</v>
      </c>
      <c r="L217" s="0" t="s">
        <v>46</v>
      </c>
      <c r="M217" s="0" t="s">
        <v>46</v>
      </c>
      <c r="N217" s="0" t="s">
        <v>46</v>
      </c>
      <c r="O217" s="0" t="s">
        <v>46</v>
      </c>
    </row>
    <row r="218" customFormat="false" ht="15" hidden="false" customHeight="false" outlineLevel="0" collapsed="false">
      <c r="A218" s="0" t="s">
        <v>2804</v>
      </c>
      <c r="B218" s="0" t="s">
        <v>871</v>
      </c>
      <c r="C218" s="0" t="s">
        <v>872</v>
      </c>
      <c r="D218" s="0" t="s">
        <v>873</v>
      </c>
      <c r="E218" s="0" t="s">
        <v>46</v>
      </c>
      <c r="F218" s="0" t="s">
        <v>2805</v>
      </c>
      <c r="G218" s="0" t="s">
        <v>2806</v>
      </c>
      <c r="H218" s="0" t="s">
        <v>2413</v>
      </c>
      <c r="I218" s="0" t="s">
        <v>46</v>
      </c>
      <c r="J218" s="0" t="s">
        <v>46</v>
      </c>
      <c r="K218" s="0" t="s">
        <v>46</v>
      </c>
      <c r="L218" s="0" t="s">
        <v>46</v>
      </c>
      <c r="M218" s="0" t="s">
        <v>46</v>
      </c>
      <c r="N218" s="0" t="s">
        <v>46</v>
      </c>
      <c r="O218" s="0" t="s">
        <v>46</v>
      </c>
    </row>
    <row r="219" customFormat="false" ht="15" hidden="false" customHeight="false" outlineLevel="0" collapsed="false">
      <c r="A219" s="0" t="s">
        <v>2807</v>
      </c>
      <c r="B219" s="0" t="s">
        <v>1777</v>
      </c>
      <c r="C219" s="0" t="s">
        <v>1778</v>
      </c>
      <c r="D219" s="0" t="s">
        <v>46</v>
      </c>
      <c r="E219" s="0" t="s">
        <v>46</v>
      </c>
      <c r="F219" s="0" t="s">
        <v>2808</v>
      </c>
      <c r="G219" s="0" t="s">
        <v>46</v>
      </c>
      <c r="H219" s="0" t="s">
        <v>46</v>
      </c>
      <c r="I219" s="0" t="s">
        <v>46</v>
      </c>
      <c r="J219" s="0" t="s">
        <v>46</v>
      </c>
      <c r="K219" s="0" t="s">
        <v>46</v>
      </c>
      <c r="L219" s="0" t="s">
        <v>46</v>
      </c>
      <c r="M219" s="0" t="s">
        <v>46</v>
      </c>
      <c r="N219" s="0" t="s">
        <v>46</v>
      </c>
      <c r="O219" s="0" t="s">
        <v>46</v>
      </c>
    </row>
    <row r="220" customFormat="false" ht="15" hidden="false" customHeight="false" outlineLevel="0" collapsed="false">
      <c r="A220" s="0" t="s">
        <v>2809</v>
      </c>
      <c r="B220" s="0" t="s">
        <v>46</v>
      </c>
      <c r="C220" s="0" t="s">
        <v>1276</v>
      </c>
      <c r="D220" s="0" t="s">
        <v>1277</v>
      </c>
      <c r="E220" s="0" t="s">
        <v>46</v>
      </c>
      <c r="F220" s="0" t="s">
        <v>2810</v>
      </c>
      <c r="G220" s="0" t="s">
        <v>46</v>
      </c>
      <c r="H220" s="0" t="s">
        <v>46</v>
      </c>
      <c r="I220" s="0" t="s">
        <v>46</v>
      </c>
      <c r="J220" s="0" t="s">
        <v>46</v>
      </c>
      <c r="K220" s="0" t="s">
        <v>46</v>
      </c>
      <c r="L220" s="0" t="s">
        <v>46</v>
      </c>
      <c r="M220" s="0" t="s">
        <v>46</v>
      </c>
      <c r="N220" s="0" t="s">
        <v>46</v>
      </c>
      <c r="O220" s="0" t="s">
        <v>46</v>
      </c>
    </row>
    <row r="221" customFormat="false" ht="15" hidden="false" customHeight="false" outlineLevel="0" collapsed="false">
      <c r="A221" s="0" t="s">
        <v>2811</v>
      </c>
      <c r="B221" s="0" t="s">
        <v>1290</v>
      </c>
      <c r="C221" s="0" t="s">
        <v>1291</v>
      </c>
      <c r="D221" s="0" t="s">
        <v>1292</v>
      </c>
      <c r="E221" s="0" t="s">
        <v>46</v>
      </c>
      <c r="F221" s="0" t="s">
        <v>2812</v>
      </c>
      <c r="G221" s="0" t="s">
        <v>2813</v>
      </c>
      <c r="H221" s="0" t="s">
        <v>2814</v>
      </c>
      <c r="I221" s="0" t="s">
        <v>46</v>
      </c>
      <c r="J221" s="0" t="s">
        <v>46</v>
      </c>
      <c r="K221" s="0" t="s">
        <v>46</v>
      </c>
      <c r="L221" s="0" t="s">
        <v>46</v>
      </c>
      <c r="M221" s="0" t="s">
        <v>46</v>
      </c>
      <c r="N221" s="0" t="s">
        <v>46</v>
      </c>
      <c r="O221" s="0" t="s">
        <v>46</v>
      </c>
    </row>
    <row r="222" customFormat="false" ht="15" hidden="false" customHeight="false" outlineLevel="0" collapsed="false">
      <c r="A222" s="0" t="s">
        <v>2815</v>
      </c>
      <c r="B222" s="0" t="s">
        <v>803</v>
      </c>
      <c r="C222" s="0" t="s">
        <v>804</v>
      </c>
      <c r="D222" s="0" t="s">
        <v>805</v>
      </c>
      <c r="E222" s="0" t="s">
        <v>46</v>
      </c>
      <c r="F222" s="0" t="s">
        <v>2816</v>
      </c>
      <c r="G222" s="0" t="s">
        <v>2817</v>
      </c>
      <c r="H222" s="0" t="s">
        <v>2818</v>
      </c>
      <c r="I222" s="0" t="s">
        <v>46</v>
      </c>
      <c r="J222" s="0" t="s">
        <v>46</v>
      </c>
      <c r="K222" s="0" t="s">
        <v>46</v>
      </c>
      <c r="L222" s="0" t="s">
        <v>46</v>
      </c>
      <c r="M222" s="0" t="s">
        <v>46</v>
      </c>
      <c r="N222" s="0" t="s">
        <v>46</v>
      </c>
      <c r="O222" s="0" t="s">
        <v>46</v>
      </c>
    </row>
    <row r="223" customFormat="false" ht="15" hidden="false" customHeight="false" outlineLevel="0" collapsed="false">
      <c r="A223" s="0" t="s">
        <v>2819</v>
      </c>
      <c r="B223" s="0" t="s">
        <v>617</v>
      </c>
      <c r="C223" s="0" t="s">
        <v>618</v>
      </c>
      <c r="D223" s="0" t="s">
        <v>619</v>
      </c>
      <c r="E223" s="0" t="s">
        <v>46</v>
      </c>
      <c r="F223" s="0" t="s">
        <v>2820</v>
      </c>
      <c r="G223" s="0" t="s">
        <v>2821</v>
      </c>
      <c r="H223" s="0" t="s">
        <v>2822</v>
      </c>
      <c r="I223" s="0" t="s">
        <v>46</v>
      </c>
      <c r="J223" s="0" t="s">
        <v>46</v>
      </c>
      <c r="K223" s="0" t="s">
        <v>46</v>
      </c>
      <c r="L223" s="0" t="s">
        <v>46</v>
      </c>
      <c r="M223" s="0" t="s">
        <v>46</v>
      </c>
      <c r="N223" s="0" t="s">
        <v>46</v>
      </c>
      <c r="O223" s="0" t="s">
        <v>46</v>
      </c>
    </row>
    <row r="224" customFormat="false" ht="15" hidden="false" customHeight="false" outlineLevel="0" collapsed="false">
      <c r="A224" s="0" t="s">
        <v>2823</v>
      </c>
      <c r="B224" s="0" t="s">
        <v>46</v>
      </c>
      <c r="C224" s="0" t="s">
        <v>2824</v>
      </c>
      <c r="D224" s="0" t="s">
        <v>46</v>
      </c>
      <c r="E224" s="0" t="s">
        <v>46</v>
      </c>
      <c r="F224" s="0" t="s">
        <v>46</v>
      </c>
      <c r="G224" s="0" t="s">
        <v>46</v>
      </c>
      <c r="H224" s="0" t="s">
        <v>46</v>
      </c>
      <c r="I224" s="0" t="s">
        <v>46</v>
      </c>
      <c r="J224" s="0" t="s">
        <v>46</v>
      </c>
      <c r="K224" s="0" t="s">
        <v>46</v>
      </c>
      <c r="L224" s="0" t="s">
        <v>46</v>
      </c>
      <c r="M224" s="0" t="s">
        <v>46</v>
      </c>
      <c r="N224" s="0" t="s">
        <v>46</v>
      </c>
      <c r="O224" s="0" t="s">
        <v>46</v>
      </c>
    </row>
    <row r="225" customFormat="false" ht="15" hidden="false" customHeight="false" outlineLevel="0" collapsed="false">
      <c r="A225" s="0" t="s">
        <v>2825</v>
      </c>
      <c r="B225" s="0" t="s">
        <v>926</v>
      </c>
      <c r="C225" s="0" t="s">
        <v>927</v>
      </c>
      <c r="D225" s="0" t="s">
        <v>928</v>
      </c>
      <c r="E225" s="0" t="s">
        <v>46</v>
      </c>
      <c r="F225" s="0" t="s">
        <v>46</v>
      </c>
      <c r="G225" s="0" t="s">
        <v>46</v>
      </c>
      <c r="H225" s="0" t="s">
        <v>46</v>
      </c>
      <c r="I225" s="0" t="s">
        <v>46</v>
      </c>
      <c r="J225" s="0" t="s">
        <v>46</v>
      </c>
      <c r="K225" s="0" t="s">
        <v>46</v>
      </c>
      <c r="L225" s="0" t="s">
        <v>46</v>
      </c>
      <c r="M225" s="0" t="s">
        <v>46</v>
      </c>
      <c r="N225" s="0" t="s">
        <v>46</v>
      </c>
      <c r="O225" s="0" t="s">
        <v>46</v>
      </c>
    </row>
    <row r="226" customFormat="false" ht="15" hidden="false" customHeight="false" outlineLevel="0" collapsed="false">
      <c r="A226" s="0" t="s">
        <v>2826</v>
      </c>
      <c r="B226" s="0" t="s">
        <v>1156</v>
      </c>
      <c r="C226" s="0" t="s">
        <v>1157</v>
      </c>
      <c r="D226" s="0" t="s">
        <v>1158</v>
      </c>
      <c r="E226" s="0" t="s">
        <v>46</v>
      </c>
      <c r="F226" s="0" t="s">
        <v>46</v>
      </c>
      <c r="G226" s="0" t="s">
        <v>2827</v>
      </c>
      <c r="H226" s="0" t="s">
        <v>2828</v>
      </c>
      <c r="I226" s="0" t="s">
        <v>46</v>
      </c>
      <c r="J226" s="0" t="s">
        <v>46</v>
      </c>
      <c r="K226" s="0" t="s">
        <v>46</v>
      </c>
      <c r="L226" s="0" t="s">
        <v>46</v>
      </c>
      <c r="M226" s="0" t="s">
        <v>46</v>
      </c>
      <c r="N226" s="0" t="s">
        <v>46</v>
      </c>
      <c r="O226" s="0" t="s">
        <v>46</v>
      </c>
    </row>
    <row r="227" customFormat="false" ht="15" hidden="false" customHeight="false" outlineLevel="0" collapsed="false">
      <c r="A227" s="0" t="s">
        <v>2829</v>
      </c>
      <c r="B227" s="0" t="s">
        <v>838</v>
      </c>
      <c r="C227" s="0" t="s">
        <v>839</v>
      </c>
      <c r="D227" s="0" t="s">
        <v>840</v>
      </c>
      <c r="E227" s="0" t="s">
        <v>46</v>
      </c>
      <c r="F227" s="0" t="s">
        <v>2830</v>
      </c>
      <c r="G227" s="0" t="s">
        <v>2831</v>
      </c>
      <c r="H227" s="0" t="s">
        <v>2832</v>
      </c>
      <c r="I227" s="0" t="s">
        <v>46</v>
      </c>
      <c r="J227" s="0" t="s">
        <v>46</v>
      </c>
      <c r="K227" s="0" t="s">
        <v>46</v>
      </c>
      <c r="L227" s="0" t="s">
        <v>46</v>
      </c>
      <c r="M227" s="0" t="s">
        <v>46</v>
      </c>
      <c r="N227" s="0" t="s">
        <v>46</v>
      </c>
      <c r="O227" s="0" t="s">
        <v>46</v>
      </c>
    </row>
    <row r="228" customFormat="false" ht="15" hidden="false" customHeight="false" outlineLevel="0" collapsed="false">
      <c r="A228" s="0" t="s">
        <v>2833</v>
      </c>
      <c r="B228" s="0" t="s">
        <v>2096</v>
      </c>
      <c r="C228" s="0" t="s">
        <v>2097</v>
      </c>
      <c r="D228" s="0" t="s">
        <v>2098</v>
      </c>
      <c r="E228" s="0" t="s">
        <v>46</v>
      </c>
      <c r="F228" s="0" t="s">
        <v>46</v>
      </c>
      <c r="G228" s="0" t="s">
        <v>2834</v>
      </c>
      <c r="H228" s="0" t="s">
        <v>46</v>
      </c>
      <c r="I228" s="0" t="s">
        <v>46</v>
      </c>
      <c r="J228" s="0" t="s">
        <v>46</v>
      </c>
      <c r="K228" s="0" t="s">
        <v>46</v>
      </c>
      <c r="L228" s="0" t="s">
        <v>46</v>
      </c>
      <c r="M228" s="0" t="s">
        <v>46</v>
      </c>
      <c r="N228" s="0" t="s">
        <v>46</v>
      </c>
      <c r="O228" s="0" t="s">
        <v>46</v>
      </c>
    </row>
    <row r="229" customFormat="false" ht="15" hidden="false" customHeight="false" outlineLevel="0" collapsed="false">
      <c r="A229" s="0" t="s">
        <v>2835</v>
      </c>
      <c r="B229" s="0" t="s">
        <v>1753</v>
      </c>
      <c r="C229" s="0" t="s">
        <v>1754</v>
      </c>
      <c r="D229" s="0" t="s">
        <v>1755</v>
      </c>
      <c r="E229" s="0" t="s">
        <v>46</v>
      </c>
      <c r="F229" s="0" t="s">
        <v>46</v>
      </c>
      <c r="G229" s="0" t="s">
        <v>2836</v>
      </c>
      <c r="H229" s="0" t="s">
        <v>2837</v>
      </c>
      <c r="I229" s="0" t="s">
        <v>46</v>
      </c>
      <c r="J229" s="0" t="s">
        <v>46</v>
      </c>
      <c r="K229" s="0" t="s">
        <v>46</v>
      </c>
      <c r="L229" s="0" t="s">
        <v>46</v>
      </c>
      <c r="M229" s="0" t="s">
        <v>46</v>
      </c>
      <c r="N229" s="0" t="s">
        <v>46</v>
      </c>
      <c r="O229" s="0" t="s">
        <v>46</v>
      </c>
    </row>
    <row r="230" customFormat="false" ht="15" hidden="false" customHeight="false" outlineLevel="0" collapsed="false">
      <c r="A230" s="0" t="s">
        <v>2838</v>
      </c>
      <c r="B230" s="0" t="s">
        <v>2061</v>
      </c>
      <c r="C230" s="0" t="s">
        <v>2062</v>
      </c>
      <c r="D230" s="0" t="s">
        <v>2063</v>
      </c>
      <c r="E230" s="0" t="s">
        <v>46</v>
      </c>
      <c r="F230" s="0" t="s">
        <v>46</v>
      </c>
      <c r="G230" s="0" t="s">
        <v>2839</v>
      </c>
      <c r="H230" s="0" t="s">
        <v>2840</v>
      </c>
      <c r="I230" s="0" t="s">
        <v>46</v>
      </c>
      <c r="J230" s="0" t="s">
        <v>46</v>
      </c>
      <c r="K230" s="0" t="s">
        <v>46</v>
      </c>
      <c r="L230" s="0" t="s">
        <v>46</v>
      </c>
      <c r="M230" s="0" t="s">
        <v>46</v>
      </c>
      <c r="N230" s="0" t="s">
        <v>46</v>
      </c>
      <c r="O230" s="0" t="s">
        <v>46</v>
      </c>
    </row>
    <row r="231" customFormat="false" ht="15" hidden="false" customHeight="false" outlineLevel="0" collapsed="false">
      <c r="A231" s="0" t="s">
        <v>2841</v>
      </c>
      <c r="B231" s="0" t="s">
        <v>2842</v>
      </c>
      <c r="C231" s="0" t="s">
        <v>2843</v>
      </c>
      <c r="D231" s="0" t="s">
        <v>2844</v>
      </c>
      <c r="E231" s="0" t="s">
        <v>46</v>
      </c>
      <c r="F231" s="0" t="s">
        <v>46</v>
      </c>
      <c r="G231" s="0" t="s">
        <v>46</v>
      </c>
      <c r="H231" s="0" t="s">
        <v>46</v>
      </c>
      <c r="I231" s="0" t="s">
        <v>46</v>
      </c>
      <c r="J231" s="0" t="s">
        <v>46</v>
      </c>
      <c r="K231" s="0" t="s">
        <v>46</v>
      </c>
      <c r="L231" s="0" t="s">
        <v>46</v>
      </c>
      <c r="M231" s="0" t="s">
        <v>46</v>
      </c>
      <c r="N231" s="0" t="s">
        <v>46</v>
      </c>
      <c r="O231" s="0" t="s">
        <v>46</v>
      </c>
    </row>
    <row r="232" customFormat="false" ht="15" hidden="false" customHeight="false" outlineLevel="0" collapsed="false">
      <c r="A232" s="0" t="s">
        <v>2845</v>
      </c>
      <c r="B232" s="0" t="s">
        <v>2846</v>
      </c>
      <c r="C232" s="0" t="s">
        <v>2847</v>
      </c>
      <c r="D232" s="0" t="s">
        <v>2844</v>
      </c>
      <c r="E232" s="0" t="s">
        <v>46</v>
      </c>
      <c r="F232" s="0" t="s">
        <v>46</v>
      </c>
      <c r="G232" s="0" t="s">
        <v>46</v>
      </c>
      <c r="H232" s="0" t="s">
        <v>46</v>
      </c>
      <c r="I232" s="0" t="s">
        <v>46</v>
      </c>
      <c r="J232" s="0" t="s">
        <v>46</v>
      </c>
      <c r="K232" s="0" t="s">
        <v>46</v>
      </c>
      <c r="L232" s="0" t="s">
        <v>46</v>
      </c>
      <c r="M232" s="0" t="s">
        <v>46</v>
      </c>
      <c r="N232" s="0" t="s">
        <v>46</v>
      </c>
      <c r="O232" s="0" t="s">
        <v>46</v>
      </c>
    </row>
    <row r="233" customFormat="false" ht="15" hidden="false" customHeight="false" outlineLevel="0" collapsed="false">
      <c r="A233" s="0" t="s">
        <v>2848</v>
      </c>
      <c r="B233" s="0" t="s">
        <v>2032</v>
      </c>
      <c r="C233" s="0" t="s">
        <v>2033</v>
      </c>
      <c r="D233" s="0" t="s">
        <v>2034</v>
      </c>
      <c r="E233" s="0" t="s">
        <v>46</v>
      </c>
      <c r="F233" s="0" t="s">
        <v>2849</v>
      </c>
      <c r="G233" s="0" t="s">
        <v>2850</v>
      </c>
      <c r="H233" s="0" t="s">
        <v>2851</v>
      </c>
      <c r="I233" s="0" t="s">
        <v>46</v>
      </c>
      <c r="J233" s="0" t="s">
        <v>46</v>
      </c>
      <c r="K233" s="0" t="s">
        <v>46</v>
      </c>
      <c r="L233" s="0" t="s">
        <v>46</v>
      </c>
      <c r="M233" s="0" t="s">
        <v>46</v>
      </c>
      <c r="N233" s="0" t="s">
        <v>46</v>
      </c>
      <c r="O233" s="0" t="s">
        <v>46</v>
      </c>
    </row>
    <row r="234" customFormat="false" ht="15" hidden="false" customHeight="false" outlineLevel="0" collapsed="false">
      <c r="A234" s="0" t="s">
        <v>2852</v>
      </c>
      <c r="B234" s="0" t="s">
        <v>320</v>
      </c>
      <c r="C234" s="0" t="s">
        <v>321</v>
      </c>
      <c r="D234" s="0" t="s">
        <v>322</v>
      </c>
      <c r="E234" s="0" t="s">
        <v>46</v>
      </c>
      <c r="F234" s="0" t="s">
        <v>2853</v>
      </c>
      <c r="G234" s="0" t="s">
        <v>2854</v>
      </c>
      <c r="H234" s="0" t="s">
        <v>2855</v>
      </c>
      <c r="I234" s="0" t="s">
        <v>46</v>
      </c>
      <c r="J234" s="0" t="s">
        <v>46</v>
      </c>
      <c r="K234" s="0" t="s">
        <v>46</v>
      </c>
      <c r="L234" s="0" t="s">
        <v>46</v>
      </c>
      <c r="M234" s="0" t="s">
        <v>46</v>
      </c>
      <c r="N234" s="0" t="s">
        <v>46</v>
      </c>
      <c r="O234" s="0" t="s">
        <v>46</v>
      </c>
    </row>
    <row r="235" customFormat="false" ht="15" hidden="false" customHeight="false" outlineLevel="0" collapsed="false">
      <c r="A235" s="0" t="s">
        <v>2856</v>
      </c>
      <c r="B235" s="0" t="s">
        <v>46</v>
      </c>
      <c r="C235" s="0" t="s">
        <v>2857</v>
      </c>
      <c r="D235" s="0" t="s">
        <v>46</v>
      </c>
      <c r="E235" s="0" t="s">
        <v>46</v>
      </c>
      <c r="F235" s="0" t="s">
        <v>46</v>
      </c>
      <c r="G235" s="0" t="s">
        <v>46</v>
      </c>
      <c r="H235" s="0" t="s">
        <v>46</v>
      </c>
      <c r="I235" s="0" t="s">
        <v>46</v>
      </c>
      <c r="J235" s="0" t="s">
        <v>46</v>
      </c>
      <c r="K235" s="0" t="s">
        <v>46</v>
      </c>
      <c r="L235" s="0" t="s">
        <v>46</v>
      </c>
      <c r="M235" s="0" t="s">
        <v>46</v>
      </c>
      <c r="N235" s="0" t="s">
        <v>46</v>
      </c>
      <c r="O235" s="0" t="s">
        <v>46</v>
      </c>
    </row>
    <row r="236" customFormat="false" ht="15" hidden="false" customHeight="false" outlineLevel="0" collapsed="false">
      <c r="A236" s="0" t="s">
        <v>2858</v>
      </c>
      <c r="B236" s="0" t="s">
        <v>798</v>
      </c>
      <c r="C236" s="0" t="s">
        <v>799</v>
      </c>
      <c r="D236" s="0" t="s">
        <v>800</v>
      </c>
      <c r="E236" s="0" t="s">
        <v>46</v>
      </c>
      <c r="F236" s="0" t="s">
        <v>46</v>
      </c>
      <c r="G236" s="0" t="s">
        <v>2859</v>
      </c>
      <c r="H236" s="0" t="s">
        <v>2860</v>
      </c>
      <c r="I236" s="0" t="s">
        <v>46</v>
      </c>
      <c r="J236" s="0" t="s">
        <v>46</v>
      </c>
      <c r="K236" s="0" t="s">
        <v>46</v>
      </c>
      <c r="L236" s="0" t="s">
        <v>46</v>
      </c>
      <c r="M236" s="0" t="s">
        <v>46</v>
      </c>
      <c r="N236" s="0" t="s">
        <v>46</v>
      </c>
      <c r="O236" s="0" t="s">
        <v>46</v>
      </c>
    </row>
    <row r="237" customFormat="false" ht="15" hidden="false" customHeight="false" outlineLevel="0" collapsed="false">
      <c r="A237" s="0" t="s">
        <v>2861</v>
      </c>
      <c r="B237" s="0" t="s">
        <v>980</v>
      </c>
      <c r="C237" s="0" t="s">
        <v>981</v>
      </c>
      <c r="D237" s="0" t="s">
        <v>982</v>
      </c>
      <c r="E237" s="0" t="s">
        <v>46</v>
      </c>
      <c r="F237" s="0" t="s">
        <v>46</v>
      </c>
      <c r="G237" s="0" t="s">
        <v>2862</v>
      </c>
      <c r="H237" s="0" t="s">
        <v>2863</v>
      </c>
      <c r="I237" s="0" t="s">
        <v>46</v>
      </c>
      <c r="J237" s="0" t="s">
        <v>46</v>
      </c>
      <c r="K237" s="0" t="s">
        <v>46</v>
      </c>
      <c r="L237" s="0" t="s">
        <v>46</v>
      </c>
      <c r="M237" s="0" t="s">
        <v>46</v>
      </c>
      <c r="N237" s="0" t="s">
        <v>46</v>
      </c>
      <c r="O237" s="0" t="s">
        <v>46</v>
      </c>
    </row>
    <row r="238" customFormat="false" ht="15" hidden="false" customHeight="false" outlineLevel="0" collapsed="false">
      <c r="A238" s="0" t="s">
        <v>2864</v>
      </c>
      <c r="B238" s="0" t="s">
        <v>486</v>
      </c>
      <c r="C238" s="0" t="s">
        <v>487</v>
      </c>
      <c r="D238" s="0" t="s">
        <v>488</v>
      </c>
      <c r="E238" s="0" t="s">
        <v>46</v>
      </c>
      <c r="F238" s="0" t="s">
        <v>2865</v>
      </c>
      <c r="G238" s="0" t="s">
        <v>2866</v>
      </c>
      <c r="H238" s="0" t="s">
        <v>2867</v>
      </c>
      <c r="I238" s="0" t="s">
        <v>46</v>
      </c>
      <c r="J238" s="0" t="s">
        <v>46</v>
      </c>
      <c r="K238" s="0" t="s">
        <v>46</v>
      </c>
      <c r="L238" s="0" t="s">
        <v>46</v>
      </c>
      <c r="M238" s="0" t="s">
        <v>46</v>
      </c>
      <c r="N238" s="0" t="s">
        <v>46</v>
      </c>
      <c r="O238" s="0" t="s">
        <v>46</v>
      </c>
    </row>
    <row r="239" customFormat="false" ht="15" hidden="false" customHeight="false" outlineLevel="0" collapsed="false">
      <c r="A239" s="0" t="s">
        <v>2868</v>
      </c>
      <c r="B239" s="0" t="s">
        <v>1282</v>
      </c>
      <c r="C239" s="0" t="s">
        <v>1283</v>
      </c>
      <c r="D239" s="0" t="s">
        <v>1284</v>
      </c>
      <c r="E239" s="0" t="s">
        <v>46</v>
      </c>
      <c r="F239" s="0" t="s">
        <v>2869</v>
      </c>
      <c r="G239" s="0" t="s">
        <v>2870</v>
      </c>
      <c r="H239" s="0" t="s">
        <v>2871</v>
      </c>
      <c r="I239" s="0" t="s">
        <v>46</v>
      </c>
      <c r="J239" s="0" t="s">
        <v>46</v>
      </c>
      <c r="K239" s="0" t="s">
        <v>46</v>
      </c>
      <c r="L239" s="0" t="s">
        <v>46</v>
      </c>
      <c r="M239" s="0" t="s">
        <v>46</v>
      </c>
      <c r="N239" s="0" t="s">
        <v>46</v>
      </c>
      <c r="O239" s="0" t="s">
        <v>46</v>
      </c>
    </row>
    <row r="240" customFormat="false" ht="15" hidden="false" customHeight="false" outlineLevel="0" collapsed="false">
      <c r="A240" s="0" t="s">
        <v>2872</v>
      </c>
      <c r="B240" s="0" t="s">
        <v>2054</v>
      </c>
      <c r="C240" s="0" t="s">
        <v>2055</v>
      </c>
      <c r="D240" s="0" t="s">
        <v>2056</v>
      </c>
      <c r="E240" s="0" t="s">
        <v>46</v>
      </c>
      <c r="F240" s="0" t="s">
        <v>46</v>
      </c>
      <c r="G240" s="0" t="s">
        <v>2873</v>
      </c>
      <c r="H240" s="0" t="s">
        <v>2874</v>
      </c>
      <c r="I240" s="0" t="s">
        <v>46</v>
      </c>
      <c r="J240" s="0" t="s">
        <v>46</v>
      </c>
      <c r="K240" s="0" t="s">
        <v>46</v>
      </c>
      <c r="L240" s="0" t="s">
        <v>46</v>
      </c>
      <c r="M240" s="0" t="s">
        <v>46</v>
      </c>
      <c r="N240" s="0" t="s">
        <v>46</v>
      </c>
      <c r="O240" s="0" t="s">
        <v>46</v>
      </c>
    </row>
    <row r="241" customFormat="false" ht="15" hidden="false" customHeight="false" outlineLevel="0" collapsed="false">
      <c r="A241" s="0" t="s">
        <v>2875</v>
      </c>
      <c r="B241" s="0" t="s">
        <v>261</v>
      </c>
      <c r="C241" s="0" t="s">
        <v>262</v>
      </c>
      <c r="D241" s="0" t="s">
        <v>263</v>
      </c>
      <c r="E241" s="0" t="s">
        <v>46</v>
      </c>
      <c r="F241" s="0" t="s">
        <v>2876</v>
      </c>
      <c r="G241" s="0" t="s">
        <v>2877</v>
      </c>
      <c r="H241" s="0" t="s">
        <v>2263</v>
      </c>
      <c r="I241" s="0" t="s">
        <v>46</v>
      </c>
      <c r="J241" s="0" t="s">
        <v>46</v>
      </c>
      <c r="K241" s="0" t="s">
        <v>46</v>
      </c>
      <c r="L241" s="0" t="s">
        <v>46</v>
      </c>
      <c r="M241" s="0" t="s">
        <v>46</v>
      </c>
      <c r="N241" s="0" t="s">
        <v>46</v>
      </c>
      <c r="O241" s="0" t="s">
        <v>46</v>
      </c>
    </row>
    <row r="242" customFormat="false" ht="15" hidden="false" customHeight="false" outlineLevel="0" collapsed="false">
      <c r="A242" s="0" t="s">
        <v>2878</v>
      </c>
      <c r="B242" s="0" t="s">
        <v>46</v>
      </c>
      <c r="C242" s="0" t="s">
        <v>2879</v>
      </c>
      <c r="D242" s="0" t="s">
        <v>46</v>
      </c>
      <c r="E242" s="0" t="s">
        <v>46</v>
      </c>
      <c r="F242" s="0" t="s">
        <v>46</v>
      </c>
      <c r="G242" s="0" t="s">
        <v>46</v>
      </c>
      <c r="H242" s="0" t="s">
        <v>46</v>
      </c>
      <c r="I242" s="0" t="s">
        <v>46</v>
      </c>
      <c r="J242" s="0" t="s">
        <v>46</v>
      </c>
      <c r="K242" s="0" t="s">
        <v>46</v>
      </c>
      <c r="L242" s="0" t="s">
        <v>46</v>
      </c>
      <c r="M242" s="0" t="s">
        <v>46</v>
      </c>
      <c r="N242" s="0" t="s">
        <v>46</v>
      </c>
      <c r="O242" s="0" t="s">
        <v>46</v>
      </c>
    </row>
    <row r="243" customFormat="false" ht="15" hidden="false" customHeight="false" outlineLevel="0" collapsed="false">
      <c r="A243" s="0" t="s">
        <v>2880</v>
      </c>
      <c r="B243" s="0" t="s">
        <v>884</v>
      </c>
      <c r="C243" s="0" t="s">
        <v>885</v>
      </c>
      <c r="D243" s="0" t="s">
        <v>886</v>
      </c>
      <c r="E243" s="0" t="s">
        <v>46</v>
      </c>
      <c r="F243" s="0" t="s">
        <v>46</v>
      </c>
      <c r="G243" s="0" t="s">
        <v>2881</v>
      </c>
      <c r="H243" s="0" t="s">
        <v>46</v>
      </c>
      <c r="I243" s="0" t="s">
        <v>46</v>
      </c>
      <c r="J243" s="0" t="s">
        <v>46</v>
      </c>
      <c r="K243" s="0" t="s">
        <v>46</v>
      </c>
      <c r="L243" s="0" t="s">
        <v>46</v>
      </c>
      <c r="M243" s="0" t="s">
        <v>46</v>
      </c>
      <c r="N243" s="0" t="s">
        <v>46</v>
      </c>
      <c r="O243" s="0" t="s">
        <v>46</v>
      </c>
    </row>
    <row r="244" customFormat="false" ht="15" hidden="false" customHeight="false" outlineLevel="0" collapsed="false">
      <c r="A244" s="0" t="s">
        <v>2882</v>
      </c>
      <c r="B244" s="0" t="s">
        <v>1336</v>
      </c>
      <c r="C244" s="0" t="s">
        <v>1337</v>
      </c>
      <c r="D244" s="0" t="s">
        <v>1338</v>
      </c>
      <c r="E244" s="0" t="s">
        <v>46</v>
      </c>
      <c r="F244" s="0" t="s">
        <v>2883</v>
      </c>
      <c r="G244" s="0" t="s">
        <v>2884</v>
      </c>
      <c r="H244" s="0" t="s">
        <v>2885</v>
      </c>
      <c r="I244" s="0" t="s">
        <v>46</v>
      </c>
      <c r="J244" s="0" t="s">
        <v>46</v>
      </c>
      <c r="K244" s="0" t="s">
        <v>46</v>
      </c>
      <c r="L244" s="0" t="s">
        <v>46</v>
      </c>
      <c r="M244" s="0" t="s">
        <v>46</v>
      </c>
      <c r="N244" s="0" t="s">
        <v>46</v>
      </c>
      <c r="O244" s="0" t="s">
        <v>46</v>
      </c>
    </row>
    <row r="245" customFormat="false" ht="15" hidden="false" customHeight="false" outlineLevel="0" collapsed="false">
      <c r="A245" s="0" t="s">
        <v>2886</v>
      </c>
      <c r="B245" s="0" t="s">
        <v>848</v>
      </c>
      <c r="C245" s="0" t="s">
        <v>849</v>
      </c>
      <c r="D245" s="0" t="s">
        <v>850</v>
      </c>
      <c r="E245" s="0" t="s">
        <v>46</v>
      </c>
      <c r="F245" s="0" t="s">
        <v>2887</v>
      </c>
      <c r="G245" s="0" t="s">
        <v>2888</v>
      </c>
      <c r="H245" s="0" t="s">
        <v>2889</v>
      </c>
      <c r="I245" s="0" t="s">
        <v>46</v>
      </c>
      <c r="J245" s="0" t="s">
        <v>46</v>
      </c>
      <c r="K245" s="0" t="s">
        <v>46</v>
      </c>
      <c r="L245" s="0" t="s">
        <v>46</v>
      </c>
      <c r="M245" s="0" t="s">
        <v>46</v>
      </c>
      <c r="N245" s="0" t="s">
        <v>46</v>
      </c>
      <c r="O245" s="0" t="s">
        <v>46</v>
      </c>
    </row>
    <row r="246" customFormat="false" ht="15" hidden="false" customHeight="false" outlineLevel="0" collapsed="false">
      <c r="A246" s="0" t="s">
        <v>2890</v>
      </c>
      <c r="B246" s="0" t="s">
        <v>2072</v>
      </c>
      <c r="C246" s="0" t="s">
        <v>2073</v>
      </c>
      <c r="D246" s="0" t="s">
        <v>46</v>
      </c>
      <c r="E246" s="0" t="s">
        <v>46</v>
      </c>
      <c r="F246" s="0" t="s">
        <v>2891</v>
      </c>
      <c r="G246" s="0" t="s">
        <v>46</v>
      </c>
      <c r="H246" s="0" t="s">
        <v>46</v>
      </c>
      <c r="I246" s="0" t="s">
        <v>46</v>
      </c>
      <c r="J246" s="0" t="s">
        <v>46</v>
      </c>
      <c r="K246" s="0" t="s">
        <v>46</v>
      </c>
      <c r="L246" s="0" t="s">
        <v>46</v>
      </c>
      <c r="M246" s="0" t="s">
        <v>46</v>
      </c>
      <c r="N246" s="0" t="s">
        <v>46</v>
      </c>
      <c r="O246" s="0" t="s">
        <v>46</v>
      </c>
    </row>
    <row r="247" customFormat="false" ht="15" hidden="false" customHeight="false" outlineLevel="0" collapsed="false">
      <c r="A247" s="0" t="s">
        <v>2892</v>
      </c>
      <c r="B247" s="0" t="s">
        <v>683</v>
      </c>
      <c r="C247" s="0" t="s">
        <v>2893</v>
      </c>
      <c r="D247" s="0" t="s">
        <v>685</v>
      </c>
      <c r="E247" s="0" t="s">
        <v>46</v>
      </c>
      <c r="F247" s="0" t="s">
        <v>46</v>
      </c>
      <c r="G247" s="0" t="s">
        <v>2894</v>
      </c>
      <c r="H247" s="0" t="s">
        <v>2537</v>
      </c>
      <c r="I247" s="0" t="s">
        <v>46</v>
      </c>
      <c r="J247" s="0" t="s">
        <v>46</v>
      </c>
      <c r="K247" s="0" t="s">
        <v>46</v>
      </c>
      <c r="L247" s="0" t="s">
        <v>46</v>
      </c>
      <c r="M247" s="0" t="s">
        <v>46</v>
      </c>
      <c r="N247" s="0" t="s">
        <v>46</v>
      </c>
      <c r="O247" s="0" t="s">
        <v>46</v>
      </c>
    </row>
    <row r="248" customFormat="false" ht="15" hidden="false" customHeight="false" outlineLevel="0" collapsed="false">
      <c r="A248" s="0" t="s">
        <v>2895</v>
      </c>
      <c r="B248" s="0" t="s">
        <v>1193</v>
      </c>
      <c r="C248" s="0" t="s">
        <v>1194</v>
      </c>
      <c r="D248" s="0" t="s">
        <v>1195</v>
      </c>
      <c r="E248" s="0" t="s">
        <v>46</v>
      </c>
      <c r="F248" s="0" t="s">
        <v>46</v>
      </c>
      <c r="G248" s="0" t="s">
        <v>2896</v>
      </c>
      <c r="H248" s="0" t="s">
        <v>2897</v>
      </c>
      <c r="I248" s="0" t="s">
        <v>46</v>
      </c>
      <c r="J248" s="0" t="s">
        <v>46</v>
      </c>
      <c r="K248" s="0" t="s">
        <v>46</v>
      </c>
      <c r="L248" s="0" t="s">
        <v>46</v>
      </c>
      <c r="M248" s="0" t="s">
        <v>46</v>
      </c>
      <c r="N248" s="0" t="s">
        <v>46</v>
      </c>
      <c r="O248" s="0" t="s">
        <v>46</v>
      </c>
    </row>
    <row r="249" customFormat="false" ht="15" hidden="false" customHeight="false" outlineLevel="0" collapsed="false">
      <c r="A249" s="0" t="s">
        <v>2898</v>
      </c>
      <c r="B249" s="0" t="s">
        <v>563</v>
      </c>
      <c r="C249" s="0" t="s">
        <v>564</v>
      </c>
      <c r="D249" s="0" t="s">
        <v>565</v>
      </c>
      <c r="E249" s="0" t="s">
        <v>46</v>
      </c>
      <c r="F249" s="0" t="s">
        <v>46</v>
      </c>
      <c r="G249" s="0" t="s">
        <v>46</v>
      </c>
      <c r="H249" s="0" t="s">
        <v>46</v>
      </c>
      <c r="I249" s="0" t="s">
        <v>46</v>
      </c>
      <c r="J249" s="0" t="s">
        <v>46</v>
      </c>
      <c r="K249" s="0" t="s">
        <v>46</v>
      </c>
      <c r="L249" s="0" t="s">
        <v>46</v>
      </c>
      <c r="M249" s="0" t="s">
        <v>46</v>
      </c>
      <c r="N249" s="0" t="s">
        <v>46</v>
      </c>
      <c r="O249" s="0" t="s">
        <v>46</v>
      </c>
    </row>
    <row r="250" customFormat="false" ht="15" hidden="false" customHeight="false" outlineLevel="0" collapsed="false">
      <c r="A250" s="0" t="s">
        <v>2899</v>
      </c>
      <c r="B250" s="0" t="s">
        <v>1570</v>
      </c>
      <c r="C250" s="0" t="s">
        <v>1571</v>
      </c>
      <c r="D250" s="0" t="s">
        <v>1572</v>
      </c>
      <c r="E250" s="0" t="s">
        <v>46</v>
      </c>
      <c r="F250" s="0" t="s">
        <v>2900</v>
      </c>
      <c r="G250" s="0" t="s">
        <v>2901</v>
      </c>
      <c r="H250" s="0" t="s">
        <v>2902</v>
      </c>
      <c r="I250" s="0" t="s">
        <v>46</v>
      </c>
      <c r="J250" s="0" t="s">
        <v>46</v>
      </c>
      <c r="K250" s="0" t="s">
        <v>46</v>
      </c>
      <c r="L250" s="0" t="s">
        <v>46</v>
      </c>
      <c r="M250" s="0" t="s">
        <v>46</v>
      </c>
      <c r="N250" s="0" t="s">
        <v>46</v>
      </c>
      <c r="O250" s="0" t="s">
        <v>46</v>
      </c>
    </row>
    <row r="251" customFormat="false" ht="15" hidden="false" customHeight="false" outlineLevel="0" collapsed="false">
      <c r="A251" s="0" t="s">
        <v>2903</v>
      </c>
      <c r="B251" s="0" t="s">
        <v>162</v>
      </c>
      <c r="C251" s="0" t="s">
        <v>163</v>
      </c>
      <c r="D251" s="0" t="s">
        <v>46</v>
      </c>
      <c r="E251" s="0" t="s">
        <v>46</v>
      </c>
      <c r="F251" s="0" t="s">
        <v>2904</v>
      </c>
      <c r="G251" s="0" t="s">
        <v>46</v>
      </c>
      <c r="H251" s="0" t="s">
        <v>46</v>
      </c>
      <c r="I251" s="0" t="s">
        <v>46</v>
      </c>
      <c r="J251" s="0" t="s">
        <v>46</v>
      </c>
      <c r="K251" s="0" t="s">
        <v>46</v>
      </c>
      <c r="L251" s="0" t="s">
        <v>46</v>
      </c>
      <c r="M251" s="0" t="s">
        <v>46</v>
      </c>
      <c r="N251" s="0" t="s">
        <v>46</v>
      </c>
      <c r="O251" s="0" t="s">
        <v>46</v>
      </c>
    </row>
    <row r="252" customFormat="false" ht="15" hidden="false" customHeight="false" outlineLevel="0" collapsed="false">
      <c r="A252" s="0" t="s">
        <v>2905</v>
      </c>
      <c r="B252" s="0" t="s">
        <v>2006</v>
      </c>
      <c r="C252" s="0" t="s">
        <v>2007</v>
      </c>
      <c r="D252" s="0" t="s">
        <v>2008</v>
      </c>
      <c r="E252" s="0" t="s">
        <v>46</v>
      </c>
      <c r="F252" s="0" t="s">
        <v>46</v>
      </c>
      <c r="G252" s="0" t="s">
        <v>2906</v>
      </c>
      <c r="H252" s="0" t="s">
        <v>2907</v>
      </c>
      <c r="I252" s="0" t="s">
        <v>46</v>
      </c>
      <c r="J252" s="0" t="s">
        <v>46</v>
      </c>
      <c r="K252" s="0" t="s">
        <v>46</v>
      </c>
      <c r="L252" s="0" t="s">
        <v>46</v>
      </c>
      <c r="M252" s="0" t="s">
        <v>46</v>
      </c>
      <c r="N252" s="0" t="s">
        <v>46</v>
      </c>
      <c r="O252" s="0" t="s">
        <v>46</v>
      </c>
    </row>
    <row r="253" customFormat="false" ht="15" hidden="false" customHeight="false" outlineLevel="0" collapsed="false">
      <c r="A253" s="0" t="s">
        <v>2908</v>
      </c>
      <c r="B253" s="0" t="s">
        <v>1224</v>
      </c>
      <c r="C253" s="0" t="s">
        <v>1225</v>
      </c>
      <c r="D253" s="0" t="s">
        <v>1226</v>
      </c>
      <c r="E253" s="0" t="s">
        <v>46</v>
      </c>
      <c r="F253" s="0" t="s">
        <v>2909</v>
      </c>
      <c r="G253" s="0" t="s">
        <v>2910</v>
      </c>
      <c r="H253" s="0" t="s">
        <v>2911</v>
      </c>
      <c r="I253" s="0" t="s">
        <v>46</v>
      </c>
      <c r="J253" s="0" t="s">
        <v>46</v>
      </c>
      <c r="K253" s="0" t="s">
        <v>46</v>
      </c>
      <c r="L253" s="0" t="s">
        <v>46</v>
      </c>
      <c r="M253" s="0" t="s">
        <v>46</v>
      </c>
      <c r="N253" s="0" t="s">
        <v>46</v>
      </c>
      <c r="O253" s="0" t="s">
        <v>46</v>
      </c>
    </row>
    <row r="254" customFormat="false" ht="15" hidden="false" customHeight="false" outlineLevel="0" collapsed="false">
      <c r="A254" s="0" t="s">
        <v>2912</v>
      </c>
      <c r="B254" s="0" t="s">
        <v>754</v>
      </c>
      <c r="C254" s="0" t="s">
        <v>755</v>
      </c>
      <c r="D254" s="0" t="s">
        <v>756</v>
      </c>
      <c r="E254" s="0" t="s">
        <v>46</v>
      </c>
      <c r="F254" s="0" t="s">
        <v>46</v>
      </c>
      <c r="G254" s="0" t="s">
        <v>2913</v>
      </c>
      <c r="H254" s="0" t="s">
        <v>2914</v>
      </c>
      <c r="I254" s="0" t="s">
        <v>46</v>
      </c>
      <c r="J254" s="0" t="s">
        <v>46</v>
      </c>
      <c r="K254" s="0" t="s">
        <v>46</v>
      </c>
      <c r="L254" s="0" t="s">
        <v>46</v>
      </c>
      <c r="M254" s="0" t="s">
        <v>46</v>
      </c>
      <c r="N254" s="0" t="s">
        <v>46</v>
      </c>
      <c r="O254" s="0" t="s">
        <v>46</v>
      </c>
    </row>
    <row r="255" customFormat="false" ht="15" hidden="false" customHeight="false" outlineLevel="0" collapsed="false">
      <c r="A255" s="0" t="s">
        <v>2915</v>
      </c>
      <c r="B255" s="0" t="s">
        <v>2916</v>
      </c>
      <c r="C255" s="0" t="s">
        <v>2917</v>
      </c>
      <c r="D255" s="0" t="s">
        <v>2918</v>
      </c>
      <c r="E255" s="0" t="s">
        <v>46</v>
      </c>
      <c r="F255" s="0" t="s">
        <v>2891</v>
      </c>
      <c r="G255" s="0" t="s">
        <v>2919</v>
      </c>
      <c r="H255" s="0" t="s">
        <v>46</v>
      </c>
      <c r="I255" s="0" t="s">
        <v>46</v>
      </c>
      <c r="J255" s="0" t="s">
        <v>46</v>
      </c>
      <c r="K255" s="0" t="s">
        <v>46</v>
      </c>
      <c r="L255" s="0" t="s">
        <v>46</v>
      </c>
      <c r="M255" s="0" t="s">
        <v>46</v>
      </c>
      <c r="N255" s="0" t="s">
        <v>46</v>
      </c>
      <c r="O255" s="0" t="s">
        <v>46</v>
      </c>
    </row>
    <row r="256" customFormat="false" ht="15" hidden="false" customHeight="false" outlineLevel="0" collapsed="false">
      <c r="A256" s="0" t="s">
        <v>2920</v>
      </c>
      <c r="B256" s="0" t="s">
        <v>1668</v>
      </c>
      <c r="C256" s="0" t="s">
        <v>1669</v>
      </c>
      <c r="D256" s="0" t="s">
        <v>1670</v>
      </c>
      <c r="E256" s="0" t="s">
        <v>46</v>
      </c>
      <c r="F256" s="0" t="s">
        <v>46</v>
      </c>
      <c r="G256" s="0" t="s">
        <v>46</v>
      </c>
      <c r="H256" s="0" t="s">
        <v>46</v>
      </c>
      <c r="I256" s="0" t="s">
        <v>46</v>
      </c>
      <c r="J256" s="0" t="s">
        <v>46</v>
      </c>
      <c r="K256" s="0" t="s">
        <v>46</v>
      </c>
      <c r="L256" s="0" t="s">
        <v>46</v>
      </c>
      <c r="M256" s="0" t="s">
        <v>46</v>
      </c>
      <c r="N256" s="0" t="s">
        <v>46</v>
      </c>
      <c r="O256" s="0" t="s">
        <v>46</v>
      </c>
    </row>
    <row r="257" customFormat="false" ht="15" hidden="false" customHeight="false" outlineLevel="0" collapsed="false">
      <c r="A257" s="0" t="s">
        <v>2921</v>
      </c>
      <c r="B257" s="0" t="s">
        <v>785</v>
      </c>
      <c r="C257" s="0" t="s">
        <v>786</v>
      </c>
      <c r="D257" s="0" t="s">
        <v>787</v>
      </c>
      <c r="E257" s="0" t="s">
        <v>46</v>
      </c>
      <c r="F257" s="0" t="s">
        <v>2922</v>
      </c>
      <c r="G257" s="0" t="s">
        <v>2923</v>
      </c>
      <c r="H257" s="0" t="s">
        <v>2924</v>
      </c>
      <c r="I257" s="0" t="s">
        <v>46</v>
      </c>
      <c r="J257" s="0" t="s">
        <v>46</v>
      </c>
      <c r="K257" s="0" t="s">
        <v>46</v>
      </c>
      <c r="L257" s="0" t="s">
        <v>46</v>
      </c>
      <c r="M257" s="0" t="s">
        <v>46</v>
      </c>
      <c r="N257" s="0" t="s">
        <v>46</v>
      </c>
      <c r="O257" s="0" t="s">
        <v>46</v>
      </c>
    </row>
    <row r="258" customFormat="false" ht="15" hidden="false" customHeight="false" outlineLevel="0" collapsed="false">
      <c r="A258" s="0" t="s">
        <v>2925</v>
      </c>
      <c r="B258" s="0" t="s">
        <v>1504</v>
      </c>
      <c r="C258" s="0" t="s">
        <v>1505</v>
      </c>
      <c r="D258" s="0" t="s">
        <v>1506</v>
      </c>
      <c r="E258" s="0" t="s">
        <v>46</v>
      </c>
      <c r="F258" s="0" t="s">
        <v>2926</v>
      </c>
      <c r="G258" s="0" t="s">
        <v>2927</v>
      </c>
      <c r="H258" s="0" t="s">
        <v>2928</v>
      </c>
      <c r="I258" s="0" t="s">
        <v>46</v>
      </c>
      <c r="J258" s="0" t="s">
        <v>46</v>
      </c>
      <c r="K258" s="0" t="s">
        <v>46</v>
      </c>
      <c r="L258" s="0" t="s">
        <v>46</v>
      </c>
      <c r="M258" s="0" t="s">
        <v>46</v>
      </c>
      <c r="N258" s="0" t="s">
        <v>46</v>
      </c>
      <c r="O258" s="0" t="s">
        <v>46</v>
      </c>
    </row>
    <row r="259" customFormat="false" ht="15" hidden="false" customHeight="false" outlineLevel="0" collapsed="false">
      <c r="A259" s="0" t="s">
        <v>2929</v>
      </c>
      <c r="B259" s="0" t="s">
        <v>1162</v>
      </c>
      <c r="C259" s="0" t="s">
        <v>1163</v>
      </c>
      <c r="D259" s="0" t="s">
        <v>1164</v>
      </c>
      <c r="E259" s="0" t="s">
        <v>46</v>
      </c>
      <c r="F259" s="0" t="s">
        <v>46</v>
      </c>
      <c r="G259" s="0" t="s">
        <v>2930</v>
      </c>
      <c r="H259" s="0" t="s">
        <v>2931</v>
      </c>
      <c r="I259" s="0" t="s">
        <v>46</v>
      </c>
      <c r="J259" s="0" t="s">
        <v>46</v>
      </c>
      <c r="K259" s="0" t="s">
        <v>46</v>
      </c>
      <c r="L259" s="0" t="s">
        <v>46</v>
      </c>
      <c r="M259" s="0" t="s">
        <v>46</v>
      </c>
      <c r="N259" s="0" t="s">
        <v>46</v>
      </c>
      <c r="O259" s="0" t="s">
        <v>46</v>
      </c>
    </row>
    <row r="260" customFormat="false" ht="15" hidden="false" customHeight="false" outlineLevel="0" collapsed="false">
      <c r="A260" s="0" t="s">
        <v>2932</v>
      </c>
      <c r="B260" s="0" t="s">
        <v>828</v>
      </c>
      <c r="C260" s="0" t="s">
        <v>829</v>
      </c>
      <c r="D260" s="0" t="s">
        <v>830</v>
      </c>
      <c r="E260" s="0" t="s">
        <v>46</v>
      </c>
      <c r="F260" s="0" t="s">
        <v>2933</v>
      </c>
      <c r="G260" s="0" t="s">
        <v>2934</v>
      </c>
      <c r="H260" s="0" t="s">
        <v>2935</v>
      </c>
      <c r="I260" s="0" t="s">
        <v>46</v>
      </c>
      <c r="J260" s="0" t="s">
        <v>46</v>
      </c>
      <c r="K260" s="0" t="s">
        <v>46</v>
      </c>
      <c r="L260" s="0" t="s">
        <v>46</v>
      </c>
      <c r="M260" s="0" t="s">
        <v>46</v>
      </c>
      <c r="N260" s="0" t="s">
        <v>46</v>
      </c>
      <c r="O260" s="0" t="s">
        <v>46</v>
      </c>
    </row>
    <row r="261" customFormat="false" ht="15" hidden="false" customHeight="false" outlineLevel="0" collapsed="false">
      <c r="A261" s="0" t="s">
        <v>2936</v>
      </c>
      <c r="B261" s="0" t="s">
        <v>2937</v>
      </c>
      <c r="C261" s="0" t="s">
        <v>2938</v>
      </c>
      <c r="D261" s="0" t="s">
        <v>2939</v>
      </c>
      <c r="E261" s="0" t="s">
        <v>46</v>
      </c>
      <c r="F261" s="0" t="s">
        <v>2940</v>
      </c>
      <c r="G261" s="0" t="s">
        <v>2941</v>
      </c>
      <c r="H261" s="0" t="s">
        <v>2942</v>
      </c>
      <c r="I261" s="0" t="s">
        <v>46</v>
      </c>
      <c r="J261" s="0" t="s">
        <v>46</v>
      </c>
      <c r="K261" s="0" t="s">
        <v>46</v>
      </c>
      <c r="L261" s="0" t="s">
        <v>46</v>
      </c>
      <c r="M261" s="0" t="s">
        <v>46</v>
      </c>
      <c r="N261" s="0" t="s">
        <v>46</v>
      </c>
      <c r="O261" s="0" t="s">
        <v>46</v>
      </c>
    </row>
    <row r="262" customFormat="false" ht="15" hidden="false" customHeight="false" outlineLevel="0" collapsed="false">
      <c r="A262" s="0" t="s">
        <v>2943</v>
      </c>
      <c r="B262" s="0" t="s">
        <v>1107</v>
      </c>
      <c r="C262" s="0" t="s">
        <v>1108</v>
      </c>
      <c r="D262" s="0" t="s">
        <v>1109</v>
      </c>
      <c r="E262" s="0" t="s">
        <v>46</v>
      </c>
      <c r="F262" s="0" t="s">
        <v>46</v>
      </c>
      <c r="G262" s="0" t="s">
        <v>2944</v>
      </c>
      <c r="H262" s="0" t="s">
        <v>2413</v>
      </c>
      <c r="I262" s="0" t="s">
        <v>46</v>
      </c>
      <c r="J262" s="0" t="s">
        <v>46</v>
      </c>
      <c r="K262" s="0" t="s">
        <v>46</v>
      </c>
      <c r="L262" s="0" t="s">
        <v>46</v>
      </c>
      <c r="M262" s="0" t="s">
        <v>46</v>
      </c>
      <c r="N262" s="0" t="s">
        <v>46</v>
      </c>
      <c r="O262" s="0" t="s">
        <v>46</v>
      </c>
    </row>
    <row r="263" customFormat="false" ht="15" hidden="false" customHeight="false" outlineLevel="0" collapsed="false">
      <c r="A263" s="0" t="s">
        <v>2945</v>
      </c>
      <c r="B263" s="0" t="s">
        <v>526</v>
      </c>
      <c r="C263" s="0" t="s">
        <v>527</v>
      </c>
      <c r="D263" s="0" t="s">
        <v>46</v>
      </c>
      <c r="E263" s="0" t="s">
        <v>46</v>
      </c>
      <c r="F263" s="0" t="s">
        <v>2946</v>
      </c>
      <c r="G263" s="0" t="s">
        <v>2947</v>
      </c>
      <c r="H263" s="0" t="s">
        <v>2948</v>
      </c>
      <c r="I263" s="0" t="s">
        <v>46</v>
      </c>
      <c r="J263" s="0" t="s">
        <v>46</v>
      </c>
      <c r="K263" s="0" t="s">
        <v>46</v>
      </c>
      <c r="L263" s="0" t="s">
        <v>46</v>
      </c>
      <c r="M263" s="0" t="s">
        <v>46</v>
      </c>
      <c r="N263" s="0" t="s">
        <v>46</v>
      </c>
      <c r="O263" s="0" t="s">
        <v>46</v>
      </c>
    </row>
    <row r="264" customFormat="false" ht="15" hidden="false" customHeight="false" outlineLevel="0" collapsed="false">
      <c r="A264" s="0" t="s">
        <v>2949</v>
      </c>
      <c r="B264" s="0" t="s">
        <v>46</v>
      </c>
      <c r="C264" s="0" t="s">
        <v>2950</v>
      </c>
      <c r="D264" s="0" t="s">
        <v>46</v>
      </c>
      <c r="E264" s="0" t="s">
        <v>46</v>
      </c>
      <c r="F264" s="0" t="s">
        <v>46</v>
      </c>
      <c r="G264" s="0" t="s">
        <v>46</v>
      </c>
      <c r="H264" s="0" t="s">
        <v>46</v>
      </c>
      <c r="I264" s="0" t="s">
        <v>46</v>
      </c>
      <c r="J264" s="0" t="s">
        <v>46</v>
      </c>
      <c r="K264" s="0" t="s">
        <v>46</v>
      </c>
      <c r="L264" s="0" t="s">
        <v>46</v>
      </c>
      <c r="M264" s="0" t="s">
        <v>46</v>
      </c>
      <c r="N264" s="0" t="s">
        <v>46</v>
      </c>
      <c r="O264" s="0" t="s">
        <v>46</v>
      </c>
    </row>
    <row r="265" customFormat="false" ht="15" hidden="false" customHeight="false" outlineLevel="0" collapsed="false">
      <c r="A265" s="0" t="s">
        <v>2951</v>
      </c>
      <c r="B265" s="0" t="s">
        <v>46</v>
      </c>
      <c r="C265" s="0" t="s">
        <v>548</v>
      </c>
      <c r="D265" s="0" t="s">
        <v>549</v>
      </c>
      <c r="E265" s="0" t="s">
        <v>46</v>
      </c>
      <c r="F265" s="0" t="s">
        <v>46</v>
      </c>
      <c r="G265" s="0" t="s">
        <v>46</v>
      </c>
      <c r="H265" s="0" t="s">
        <v>46</v>
      </c>
      <c r="I265" s="0" t="s">
        <v>46</v>
      </c>
      <c r="J265" s="0" t="s">
        <v>46</v>
      </c>
      <c r="K265" s="0" t="s">
        <v>46</v>
      </c>
      <c r="L265" s="0" t="s">
        <v>46</v>
      </c>
      <c r="M265" s="0" t="s">
        <v>46</v>
      </c>
      <c r="N265" s="0" t="s">
        <v>46</v>
      </c>
      <c r="O265" s="0" t="s">
        <v>46</v>
      </c>
    </row>
    <row r="266" customFormat="false" ht="15" hidden="false" customHeight="false" outlineLevel="0" collapsed="false">
      <c r="A266" s="0" t="s">
        <v>2952</v>
      </c>
      <c r="B266" s="0" t="s">
        <v>1956</v>
      </c>
      <c r="C266" s="0" t="s">
        <v>1957</v>
      </c>
      <c r="D266" s="0" t="s">
        <v>1958</v>
      </c>
      <c r="E266" s="0" t="s">
        <v>46</v>
      </c>
      <c r="F266" s="0" t="s">
        <v>46</v>
      </c>
      <c r="G266" s="0" t="s">
        <v>46</v>
      </c>
      <c r="H266" s="0" t="s">
        <v>46</v>
      </c>
      <c r="I266" s="0" t="s">
        <v>46</v>
      </c>
      <c r="J266" s="0" t="s">
        <v>46</v>
      </c>
      <c r="K266" s="0" t="s">
        <v>46</v>
      </c>
      <c r="L266" s="0" t="s">
        <v>46</v>
      </c>
      <c r="M266" s="0" t="s">
        <v>46</v>
      </c>
      <c r="N266" s="0" t="s">
        <v>46</v>
      </c>
      <c r="O266" s="0" t="s">
        <v>46</v>
      </c>
    </row>
    <row r="267" customFormat="false" ht="15" hidden="false" customHeight="false" outlineLevel="0" collapsed="false">
      <c r="A267" s="0" t="s">
        <v>2953</v>
      </c>
      <c r="B267" s="0" t="s">
        <v>1672</v>
      </c>
      <c r="C267" s="0" t="s">
        <v>1673</v>
      </c>
      <c r="D267" s="0" t="s">
        <v>1674</v>
      </c>
      <c r="E267" s="0" t="s">
        <v>46</v>
      </c>
      <c r="F267" s="0" t="s">
        <v>2954</v>
      </c>
      <c r="G267" s="0" t="s">
        <v>2955</v>
      </c>
      <c r="H267" s="0" t="s">
        <v>2956</v>
      </c>
      <c r="I267" s="0" t="s">
        <v>46</v>
      </c>
      <c r="J267" s="0" t="s">
        <v>46</v>
      </c>
      <c r="K267" s="0" t="s">
        <v>46</v>
      </c>
      <c r="L267" s="0" t="s">
        <v>46</v>
      </c>
      <c r="M267" s="0" t="s">
        <v>46</v>
      </c>
      <c r="N267" s="0" t="s">
        <v>46</v>
      </c>
      <c r="O267" s="0" t="s">
        <v>46</v>
      </c>
    </row>
    <row r="268" customFormat="false" ht="15" hidden="false" customHeight="false" outlineLevel="0" collapsed="false">
      <c r="A268" s="0" t="s">
        <v>2957</v>
      </c>
      <c r="B268" s="0" t="s">
        <v>153</v>
      </c>
      <c r="C268" s="0" t="s">
        <v>154</v>
      </c>
      <c r="D268" s="0" t="s">
        <v>155</v>
      </c>
      <c r="E268" s="0" t="s">
        <v>46</v>
      </c>
      <c r="F268" s="0" t="s">
        <v>2958</v>
      </c>
      <c r="G268" s="0" t="s">
        <v>2959</v>
      </c>
      <c r="H268" s="0" t="s">
        <v>2960</v>
      </c>
      <c r="I268" s="0" t="s">
        <v>46</v>
      </c>
      <c r="J268" s="0" t="s">
        <v>46</v>
      </c>
      <c r="K268" s="0" t="s">
        <v>46</v>
      </c>
      <c r="L268" s="0" t="s">
        <v>46</v>
      </c>
      <c r="M268" s="0" t="s">
        <v>46</v>
      </c>
      <c r="N268" s="0" t="s">
        <v>46</v>
      </c>
      <c r="O268" s="0" t="s">
        <v>46</v>
      </c>
    </row>
    <row r="269" customFormat="false" ht="15" hidden="false" customHeight="false" outlineLevel="0" collapsed="false">
      <c r="A269" s="0" t="s">
        <v>2961</v>
      </c>
      <c r="B269" s="0" t="s">
        <v>662</v>
      </c>
      <c r="C269" s="0" t="s">
        <v>663</v>
      </c>
      <c r="D269" s="0" t="s">
        <v>664</v>
      </c>
      <c r="E269" s="0" t="s">
        <v>46</v>
      </c>
      <c r="F269" s="0" t="s">
        <v>46</v>
      </c>
      <c r="G269" s="0" t="s">
        <v>46</v>
      </c>
      <c r="H269" s="0" t="s">
        <v>46</v>
      </c>
      <c r="I269" s="0" t="s">
        <v>46</v>
      </c>
      <c r="J269" s="0" t="s">
        <v>46</v>
      </c>
      <c r="K269" s="0" t="s">
        <v>46</v>
      </c>
      <c r="L269" s="0" t="s">
        <v>46</v>
      </c>
      <c r="M269" s="0" t="s">
        <v>46</v>
      </c>
      <c r="N269" s="0" t="s">
        <v>46</v>
      </c>
      <c r="O269" s="0" t="s">
        <v>46</v>
      </c>
    </row>
    <row r="270" customFormat="false" ht="15" hidden="false" customHeight="false" outlineLevel="0" collapsed="false">
      <c r="A270" s="0" t="s">
        <v>2962</v>
      </c>
      <c r="B270" s="0" t="s">
        <v>656</v>
      </c>
      <c r="C270" s="0" t="s">
        <v>657</v>
      </c>
      <c r="D270" s="0" t="s">
        <v>658</v>
      </c>
      <c r="E270" s="0" t="s">
        <v>46</v>
      </c>
      <c r="F270" s="0" t="s">
        <v>2963</v>
      </c>
      <c r="G270" s="0" t="s">
        <v>46</v>
      </c>
      <c r="H270" s="0" t="s">
        <v>46</v>
      </c>
      <c r="I270" s="0" t="s">
        <v>46</v>
      </c>
      <c r="J270" s="0" t="s">
        <v>46</v>
      </c>
      <c r="K270" s="0" t="s">
        <v>46</v>
      </c>
      <c r="L270" s="0" t="s">
        <v>46</v>
      </c>
      <c r="M270" s="0" t="s">
        <v>46</v>
      </c>
      <c r="N270" s="0" t="s">
        <v>46</v>
      </c>
      <c r="O270" s="0" t="s">
        <v>46</v>
      </c>
    </row>
    <row r="271" customFormat="false" ht="15" hidden="false" customHeight="false" outlineLevel="0" collapsed="false">
      <c r="A271" s="0" t="s">
        <v>2964</v>
      </c>
      <c r="B271" s="0" t="s">
        <v>1100</v>
      </c>
      <c r="C271" s="0" t="s">
        <v>1101</v>
      </c>
      <c r="D271" s="0" t="s">
        <v>1102</v>
      </c>
      <c r="E271" s="0" t="s">
        <v>46</v>
      </c>
      <c r="F271" s="0" t="s">
        <v>2965</v>
      </c>
      <c r="G271" s="0" t="s">
        <v>2966</v>
      </c>
      <c r="H271" s="0" t="s">
        <v>46</v>
      </c>
      <c r="I271" s="0" t="s">
        <v>46</v>
      </c>
      <c r="J271" s="0" t="s">
        <v>46</v>
      </c>
      <c r="K271" s="0" t="s">
        <v>46</v>
      </c>
      <c r="L271" s="0" t="s">
        <v>46</v>
      </c>
      <c r="M271" s="0" t="s">
        <v>46</v>
      </c>
      <c r="N271" s="0" t="s">
        <v>46</v>
      </c>
      <c r="O271" s="0" t="s">
        <v>46</v>
      </c>
    </row>
    <row r="272" customFormat="false" ht="15" hidden="false" customHeight="false" outlineLevel="0" collapsed="false">
      <c r="A272" s="0" t="s">
        <v>2967</v>
      </c>
      <c r="B272" s="0" t="s">
        <v>779</v>
      </c>
      <c r="C272" s="0" t="s">
        <v>780</v>
      </c>
      <c r="D272" s="0" t="s">
        <v>781</v>
      </c>
      <c r="E272" s="0" t="s">
        <v>46</v>
      </c>
      <c r="F272" s="0" t="s">
        <v>2968</v>
      </c>
      <c r="G272" s="0" t="s">
        <v>2969</v>
      </c>
      <c r="H272" s="0" t="s">
        <v>2970</v>
      </c>
      <c r="I272" s="0" t="s">
        <v>46</v>
      </c>
      <c r="J272" s="0" t="s">
        <v>46</v>
      </c>
      <c r="K272" s="0" t="s">
        <v>46</v>
      </c>
      <c r="L272" s="0" t="s">
        <v>46</v>
      </c>
      <c r="M272" s="0" t="s">
        <v>46</v>
      </c>
      <c r="N272" s="0" t="s">
        <v>46</v>
      </c>
      <c r="O272" s="0" t="s">
        <v>46</v>
      </c>
    </row>
    <row r="273" customFormat="false" ht="15" hidden="false" customHeight="false" outlineLevel="0" collapsed="false">
      <c r="A273" s="0" t="s">
        <v>2971</v>
      </c>
      <c r="B273" s="0" t="s">
        <v>2027</v>
      </c>
      <c r="C273" s="0" t="s">
        <v>2028</v>
      </c>
      <c r="D273" s="0" t="s">
        <v>2029</v>
      </c>
      <c r="E273" s="0" t="s">
        <v>46</v>
      </c>
      <c r="F273" s="0" t="s">
        <v>2972</v>
      </c>
      <c r="G273" s="0" t="s">
        <v>2973</v>
      </c>
      <c r="H273" s="0" t="s">
        <v>2974</v>
      </c>
      <c r="I273" s="0" t="s">
        <v>46</v>
      </c>
      <c r="J273" s="0" t="s">
        <v>46</v>
      </c>
      <c r="K273" s="0" t="s">
        <v>46</v>
      </c>
      <c r="L273" s="0" t="s">
        <v>46</v>
      </c>
      <c r="M273" s="0" t="s">
        <v>46</v>
      </c>
      <c r="N273" s="0" t="s">
        <v>46</v>
      </c>
      <c r="O273" s="0" t="s">
        <v>46</v>
      </c>
    </row>
    <row r="274" customFormat="false" ht="15" hidden="false" customHeight="false" outlineLevel="0" collapsed="false">
      <c r="A274" s="0" t="s">
        <v>2975</v>
      </c>
      <c r="B274" s="0" t="s">
        <v>676</v>
      </c>
      <c r="C274" s="0" t="s">
        <v>677</v>
      </c>
      <c r="D274" s="0" t="s">
        <v>678</v>
      </c>
      <c r="E274" s="0" t="s">
        <v>46</v>
      </c>
      <c r="F274" s="0" t="s">
        <v>2976</v>
      </c>
      <c r="G274" s="0" t="s">
        <v>46</v>
      </c>
      <c r="H274" s="0" t="s">
        <v>46</v>
      </c>
      <c r="I274" s="0" t="s">
        <v>46</v>
      </c>
      <c r="J274" s="0" t="s">
        <v>46</v>
      </c>
      <c r="K274" s="0" t="s">
        <v>46</v>
      </c>
      <c r="L274" s="0" t="s">
        <v>46</v>
      </c>
      <c r="M274" s="0" t="s">
        <v>46</v>
      </c>
      <c r="N274" s="0" t="s">
        <v>46</v>
      </c>
      <c r="O274" s="0" t="s">
        <v>46</v>
      </c>
    </row>
    <row r="275" customFormat="false" ht="15" hidden="false" customHeight="false" outlineLevel="0" collapsed="false">
      <c r="A275" s="0" t="s">
        <v>2977</v>
      </c>
      <c r="B275" s="0" t="s">
        <v>1747</v>
      </c>
      <c r="C275" s="0" t="s">
        <v>1748</v>
      </c>
      <c r="D275" s="0" t="s">
        <v>46</v>
      </c>
      <c r="E275" s="0" t="s">
        <v>46</v>
      </c>
      <c r="F275" s="0" t="s">
        <v>2978</v>
      </c>
      <c r="G275" s="0" t="s">
        <v>2979</v>
      </c>
      <c r="H275" s="0" t="s">
        <v>46</v>
      </c>
      <c r="I275" s="0" t="s">
        <v>46</v>
      </c>
      <c r="J275" s="0" t="s">
        <v>46</v>
      </c>
      <c r="K275" s="0" t="s">
        <v>46</v>
      </c>
      <c r="L275" s="0" t="s">
        <v>46</v>
      </c>
      <c r="M275" s="0" t="s">
        <v>46</v>
      </c>
      <c r="N275" s="0" t="s">
        <v>46</v>
      </c>
      <c r="O275" s="0" t="s">
        <v>46</v>
      </c>
    </row>
    <row r="276" customFormat="false" ht="15" hidden="false" customHeight="false" outlineLevel="0" collapsed="false">
      <c r="A276" s="0" t="s">
        <v>2980</v>
      </c>
      <c r="B276" s="0" t="s">
        <v>1325</v>
      </c>
      <c r="C276" s="0" t="s">
        <v>1326</v>
      </c>
      <c r="D276" s="0" t="s">
        <v>1327</v>
      </c>
      <c r="E276" s="0" t="s">
        <v>46</v>
      </c>
      <c r="F276" s="0" t="s">
        <v>46</v>
      </c>
      <c r="G276" s="0" t="s">
        <v>2981</v>
      </c>
      <c r="H276" s="0" t="s">
        <v>2982</v>
      </c>
      <c r="I276" s="0" t="s">
        <v>46</v>
      </c>
      <c r="J276" s="0" t="s">
        <v>46</v>
      </c>
      <c r="K276" s="0" t="s">
        <v>46</v>
      </c>
      <c r="L276" s="0" t="s">
        <v>46</v>
      </c>
      <c r="M276" s="0" t="s">
        <v>46</v>
      </c>
      <c r="N276" s="0" t="s">
        <v>46</v>
      </c>
      <c r="O276" s="0" t="s">
        <v>46</v>
      </c>
    </row>
    <row r="277" customFormat="false" ht="15" hidden="false" customHeight="false" outlineLevel="0" collapsed="false">
      <c r="A277" s="0" t="s">
        <v>2983</v>
      </c>
      <c r="B277" s="0" t="s">
        <v>938</v>
      </c>
      <c r="C277" s="0" t="s">
        <v>939</v>
      </c>
      <c r="D277" s="0" t="s">
        <v>940</v>
      </c>
      <c r="E277" s="0" t="s">
        <v>46</v>
      </c>
      <c r="F277" s="0" t="s">
        <v>2984</v>
      </c>
      <c r="G277" s="0" t="s">
        <v>46</v>
      </c>
      <c r="H277" s="0" t="s">
        <v>46</v>
      </c>
      <c r="I277" s="0" t="s">
        <v>46</v>
      </c>
      <c r="J277" s="0" t="s">
        <v>46</v>
      </c>
      <c r="K277" s="0" t="s">
        <v>46</v>
      </c>
      <c r="L277" s="0" t="s">
        <v>46</v>
      </c>
      <c r="M277" s="0" t="s">
        <v>46</v>
      </c>
      <c r="N277" s="0" t="s">
        <v>46</v>
      </c>
      <c r="O277" s="0" t="s">
        <v>46</v>
      </c>
    </row>
    <row r="278" customFormat="false" ht="15" hidden="false" customHeight="false" outlineLevel="0" collapsed="false">
      <c r="A278" s="0" t="s">
        <v>2985</v>
      </c>
      <c r="B278" s="0" t="s">
        <v>815</v>
      </c>
      <c r="C278" s="0" t="s">
        <v>816</v>
      </c>
      <c r="D278" s="0" t="s">
        <v>817</v>
      </c>
      <c r="E278" s="0" t="s">
        <v>46</v>
      </c>
      <c r="F278" s="0" t="s">
        <v>46</v>
      </c>
      <c r="G278" s="0" t="s">
        <v>2986</v>
      </c>
      <c r="H278" s="0" t="s">
        <v>2987</v>
      </c>
      <c r="I278" s="0" t="s">
        <v>46</v>
      </c>
      <c r="J278" s="0" t="s">
        <v>46</v>
      </c>
      <c r="K278" s="0" t="s">
        <v>46</v>
      </c>
      <c r="L278" s="0" t="s">
        <v>46</v>
      </c>
      <c r="M278" s="0" t="s">
        <v>46</v>
      </c>
      <c r="N278" s="0" t="s">
        <v>46</v>
      </c>
      <c r="O278" s="0" t="s">
        <v>46</v>
      </c>
    </row>
    <row r="279" customFormat="false" ht="15" hidden="false" customHeight="false" outlineLevel="0" collapsed="false">
      <c r="A279" s="0" t="s">
        <v>2988</v>
      </c>
      <c r="B279" s="0" t="s">
        <v>1415</v>
      </c>
      <c r="C279" s="0" t="s">
        <v>1416</v>
      </c>
      <c r="D279" s="0" t="s">
        <v>817</v>
      </c>
      <c r="E279" s="0" t="s">
        <v>46</v>
      </c>
      <c r="F279" s="0" t="s">
        <v>46</v>
      </c>
      <c r="G279" s="0" t="s">
        <v>46</v>
      </c>
      <c r="H279" s="0" t="s">
        <v>46</v>
      </c>
      <c r="I279" s="0" t="s">
        <v>46</v>
      </c>
      <c r="J279" s="0" t="s">
        <v>46</v>
      </c>
      <c r="K279" s="0" t="s">
        <v>46</v>
      </c>
      <c r="L279" s="0" t="s">
        <v>46</v>
      </c>
      <c r="M279" s="0" t="s">
        <v>46</v>
      </c>
      <c r="N279" s="0" t="s">
        <v>46</v>
      </c>
      <c r="O279" s="0" t="s">
        <v>46</v>
      </c>
    </row>
    <row r="280" customFormat="false" ht="15" hidden="false" customHeight="false" outlineLevel="0" collapsed="false">
      <c r="A280" s="0" t="s">
        <v>2989</v>
      </c>
      <c r="B280" s="0" t="s">
        <v>970</v>
      </c>
      <c r="C280" s="0" t="s">
        <v>971</v>
      </c>
      <c r="D280" s="0" t="s">
        <v>972</v>
      </c>
      <c r="E280" s="0" t="s">
        <v>46</v>
      </c>
      <c r="F280" s="0" t="s">
        <v>2990</v>
      </c>
      <c r="G280" s="0" t="s">
        <v>2991</v>
      </c>
      <c r="H280" s="0" t="s">
        <v>2992</v>
      </c>
      <c r="I280" s="0" t="s">
        <v>46</v>
      </c>
      <c r="J280" s="0" t="s">
        <v>46</v>
      </c>
      <c r="K280" s="0" t="s">
        <v>46</v>
      </c>
      <c r="L280" s="0" t="s">
        <v>46</v>
      </c>
      <c r="M280" s="0" t="s">
        <v>46</v>
      </c>
      <c r="N280" s="0" t="s">
        <v>46</v>
      </c>
      <c r="O280" s="0" t="s">
        <v>46</v>
      </c>
    </row>
    <row r="281" customFormat="false" ht="15" hidden="false" customHeight="false" outlineLevel="0" collapsed="false">
      <c r="A281" s="0" t="s">
        <v>2993</v>
      </c>
      <c r="B281" s="0" t="s">
        <v>576</v>
      </c>
      <c r="C281" s="0" t="s">
        <v>577</v>
      </c>
      <c r="D281" s="0" t="s">
        <v>578</v>
      </c>
      <c r="E281" s="0" t="s">
        <v>46</v>
      </c>
      <c r="F281" s="0" t="s">
        <v>2994</v>
      </c>
      <c r="G281" s="0" t="s">
        <v>2995</v>
      </c>
      <c r="H281" s="0" t="s">
        <v>2996</v>
      </c>
      <c r="I281" s="0" t="s">
        <v>46</v>
      </c>
      <c r="J281" s="0" t="s">
        <v>46</v>
      </c>
      <c r="K281" s="0" t="s">
        <v>46</v>
      </c>
      <c r="L281" s="0" t="s">
        <v>46</v>
      </c>
      <c r="M281" s="0" t="s">
        <v>46</v>
      </c>
      <c r="N281" s="0" t="s">
        <v>46</v>
      </c>
      <c r="O281" s="0" t="s">
        <v>46</v>
      </c>
    </row>
    <row r="282" customFormat="false" ht="15" hidden="false" customHeight="false" outlineLevel="0" collapsed="false">
      <c r="A282" s="0" t="s">
        <v>2997</v>
      </c>
      <c r="B282" s="0" t="s">
        <v>192</v>
      </c>
      <c r="C282" s="0" t="s">
        <v>193</v>
      </c>
      <c r="D282" s="0" t="s">
        <v>194</v>
      </c>
      <c r="E282" s="0" t="s">
        <v>46</v>
      </c>
      <c r="F282" s="0" t="s">
        <v>2998</v>
      </c>
      <c r="G282" s="0" t="s">
        <v>2999</v>
      </c>
      <c r="H282" s="0" t="s">
        <v>3000</v>
      </c>
      <c r="I282" s="0" t="s">
        <v>46</v>
      </c>
      <c r="J282" s="0" t="s">
        <v>46</v>
      </c>
      <c r="K282" s="0" t="s">
        <v>46</v>
      </c>
      <c r="L282" s="0" t="s">
        <v>46</v>
      </c>
      <c r="M282" s="0" t="s">
        <v>46</v>
      </c>
      <c r="N282" s="0" t="s">
        <v>46</v>
      </c>
      <c r="O282" s="0" t="s">
        <v>46</v>
      </c>
    </row>
    <row r="283" customFormat="false" ht="15" hidden="false" customHeight="false" outlineLevel="0" collapsed="false">
      <c r="A283" s="0" t="s">
        <v>3001</v>
      </c>
      <c r="B283" s="0" t="s">
        <v>1151</v>
      </c>
      <c r="C283" s="0" t="s">
        <v>1152</v>
      </c>
      <c r="D283" s="0" t="s">
        <v>1153</v>
      </c>
      <c r="E283" s="0" t="s">
        <v>46</v>
      </c>
      <c r="F283" s="0" t="s">
        <v>46</v>
      </c>
      <c r="G283" s="0" t="s">
        <v>3002</v>
      </c>
      <c r="H283" s="0" t="s">
        <v>3003</v>
      </c>
      <c r="I283" s="0" t="s">
        <v>46</v>
      </c>
      <c r="J283" s="0" t="s">
        <v>46</v>
      </c>
      <c r="K283" s="0" t="s">
        <v>46</v>
      </c>
      <c r="L283" s="0" t="s">
        <v>46</v>
      </c>
      <c r="M283" s="0" t="s">
        <v>46</v>
      </c>
      <c r="N283" s="0" t="s">
        <v>46</v>
      </c>
      <c r="O283" s="0" t="s">
        <v>46</v>
      </c>
    </row>
    <row r="284" customFormat="false" ht="15" hidden="false" customHeight="false" outlineLevel="0" collapsed="false">
      <c r="A284" s="0" t="s">
        <v>3004</v>
      </c>
      <c r="B284" s="0" t="s">
        <v>541</v>
      </c>
      <c r="C284" s="0" t="s">
        <v>542</v>
      </c>
      <c r="D284" s="0" t="s">
        <v>46</v>
      </c>
      <c r="E284" s="0" t="s">
        <v>46</v>
      </c>
      <c r="F284" s="0" t="s">
        <v>46</v>
      </c>
      <c r="G284" s="0" t="s">
        <v>46</v>
      </c>
      <c r="H284" s="0" t="s">
        <v>46</v>
      </c>
      <c r="I284" s="0" t="s">
        <v>46</v>
      </c>
      <c r="J284" s="0" t="s">
        <v>46</v>
      </c>
      <c r="K284" s="0" t="s">
        <v>46</v>
      </c>
      <c r="L284" s="0" t="s">
        <v>46</v>
      </c>
      <c r="M284" s="0" t="s">
        <v>46</v>
      </c>
      <c r="N284" s="0" t="s">
        <v>46</v>
      </c>
      <c r="O284" s="0" t="s">
        <v>46</v>
      </c>
    </row>
    <row r="285" customFormat="false" ht="15" hidden="false" customHeight="false" outlineLevel="0" collapsed="false">
      <c r="A285" s="0" t="s">
        <v>3005</v>
      </c>
      <c r="B285" s="0" t="s">
        <v>590</v>
      </c>
      <c r="C285" s="0" t="s">
        <v>591</v>
      </c>
      <c r="D285" s="0" t="s">
        <v>592</v>
      </c>
      <c r="E285" s="0" t="s">
        <v>46</v>
      </c>
      <c r="F285" s="0" t="s">
        <v>3006</v>
      </c>
      <c r="G285" s="0" t="s">
        <v>3007</v>
      </c>
      <c r="H285" s="0" t="s">
        <v>3008</v>
      </c>
      <c r="I285" s="0" t="s">
        <v>46</v>
      </c>
      <c r="J285" s="0" t="s">
        <v>46</v>
      </c>
      <c r="K285" s="0" t="s">
        <v>46</v>
      </c>
      <c r="L285" s="0" t="s">
        <v>46</v>
      </c>
      <c r="M285" s="0" t="s">
        <v>46</v>
      </c>
      <c r="N285" s="0" t="s">
        <v>46</v>
      </c>
      <c r="O285" s="0" t="s">
        <v>46</v>
      </c>
    </row>
    <row r="286" customFormat="false" ht="15" hidden="false" customHeight="false" outlineLevel="0" collapsed="false">
      <c r="A286" s="0" t="s">
        <v>3009</v>
      </c>
      <c r="B286" s="0" t="s">
        <v>1841</v>
      </c>
      <c r="C286" s="0" t="s">
        <v>1842</v>
      </c>
      <c r="D286" s="0" t="s">
        <v>46</v>
      </c>
      <c r="E286" s="0" t="s">
        <v>46</v>
      </c>
      <c r="F286" s="0" t="s">
        <v>46</v>
      </c>
      <c r="G286" s="0" t="s">
        <v>3010</v>
      </c>
      <c r="H286" s="0" t="s">
        <v>3011</v>
      </c>
      <c r="I286" s="0" t="s">
        <v>46</v>
      </c>
      <c r="J286" s="0" t="s">
        <v>46</v>
      </c>
      <c r="K286" s="0" t="s">
        <v>46</v>
      </c>
      <c r="L286" s="0" t="s">
        <v>46</v>
      </c>
      <c r="M286" s="0" t="s">
        <v>46</v>
      </c>
      <c r="N286" s="0" t="s">
        <v>46</v>
      </c>
      <c r="O286" s="0" t="s">
        <v>46</v>
      </c>
    </row>
    <row r="287" customFormat="false" ht="15" hidden="false" customHeight="false" outlineLevel="0" collapsed="false">
      <c r="A287" s="0" t="s">
        <v>3012</v>
      </c>
      <c r="B287" s="0" t="s">
        <v>420</v>
      </c>
      <c r="C287" s="0" t="s">
        <v>421</v>
      </c>
      <c r="D287" s="0" t="s">
        <v>422</v>
      </c>
      <c r="E287" s="0" t="s">
        <v>46</v>
      </c>
      <c r="F287" s="0" t="s">
        <v>2215</v>
      </c>
      <c r="G287" s="0" t="s">
        <v>3013</v>
      </c>
      <c r="H287" s="0" t="s">
        <v>3014</v>
      </c>
      <c r="I287" s="0" t="s">
        <v>46</v>
      </c>
      <c r="J287" s="0" t="s">
        <v>46</v>
      </c>
      <c r="K287" s="0" t="s">
        <v>46</v>
      </c>
      <c r="L287" s="0" t="s">
        <v>46</v>
      </c>
      <c r="M287" s="0" t="s">
        <v>46</v>
      </c>
      <c r="N287" s="0" t="s">
        <v>46</v>
      </c>
      <c r="O287" s="0" t="s">
        <v>46</v>
      </c>
    </row>
    <row r="288" customFormat="false" ht="15" hidden="false" customHeight="false" outlineLevel="0" collapsed="false">
      <c r="A288" s="0" t="s">
        <v>3015</v>
      </c>
      <c r="B288" s="0" t="s">
        <v>1051</v>
      </c>
      <c r="C288" s="0" t="s">
        <v>1052</v>
      </c>
      <c r="D288" s="0" t="s">
        <v>1053</v>
      </c>
      <c r="E288" s="0" t="s">
        <v>46</v>
      </c>
      <c r="F288" s="0" t="s">
        <v>3016</v>
      </c>
      <c r="G288" s="0" t="s">
        <v>3017</v>
      </c>
      <c r="H288" s="0" t="s">
        <v>3018</v>
      </c>
      <c r="I288" s="0" t="s">
        <v>46</v>
      </c>
      <c r="J288" s="0" t="s">
        <v>46</v>
      </c>
      <c r="K288" s="0" t="s">
        <v>46</v>
      </c>
      <c r="L288" s="0" t="s">
        <v>46</v>
      </c>
      <c r="M288" s="0" t="s">
        <v>46</v>
      </c>
      <c r="N288" s="0" t="s">
        <v>46</v>
      </c>
      <c r="O288" s="0" t="s">
        <v>46</v>
      </c>
    </row>
    <row r="289" customFormat="false" ht="15" hidden="false" customHeight="false" outlineLevel="0" collapsed="false">
      <c r="A289" s="0" t="s">
        <v>3019</v>
      </c>
      <c r="B289" s="0" t="s">
        <v>1904</v>
      </c>
      <c r="C289" s="0" t="s">
        <v>1905</v>
      </c>
      <c r="D289" s="0" t="s">
        <v>1906</v>
      </c>
      <c r="E289" s="0" t="s">
        <v>46</v>
      </c>
      <c r="F289" s="0" t="s">
        <v>46</v>
      </c>
      <c r="G289" s="0" t="s">
        <v>3020</v>
      </c>
      <c r="H289" s="0" t="s">
        <v>46</v>
      </c>
      <c r="I289" s="0" t="s">
        <v>46</v>
      </c>
      <c r="J289" s="0" t="s">
        <v>46</v>
      </c>
      <c r="K289" s="0" t="s">
        <v>46</v>
      </c>
      <c r="L289" s="0" t="s">
        <v>46</v>
      </c>
      <c r="M289" s="0" t="s">
        <v>46</v>
      </c>
      <c r="N289" s="0" t="s">
        <v>46</v>
      </c>
      <c r="O289" s="0" t="s">
        <v>46</v>
      </c>
    </row>
    <row r="290" customFormat="false" ht="15" hidden="false" customHeight="false" outlineLevel="0" collapsed="false">
      <c r="A290" s="0" t="s">
        <v>3021</v>
      </c>
      <c r="B290" s="0" t="s">
        <v>582</v>
      </c>
      <c r="C290" s="0" t="s">
        <v>583</v>
      </c>
      <c r="D290" s="0" t="s">
        <v>584</v>
      </c>
      <c r="E290" s="0" t="s">
        <v>46</v>
      </c>
      <c r="F290" s="0" t="s">
        <v>46</v>
      </c>
      <c r="G290" s="0" t="s">
        <v>3022</v>
      </c>
      <c r="H290" s="0" t="s">
        <v>3023</v>
      </c>
      <c r="I290" s="0" t="s">
        <v>46</v>
      </c>
      <c r="J290" s="0" t="s">
        <v>46</v>
      </c>
      <c r="K290" s="0" t="s">
        <v>46</v>
      </c>
      <c r="L290" s="0" t="s">
        <v>46</v>
      </c>
      <c r="M290" s="0" t="s">
        <v>46</v>
      </c>
      <c r="N290" s="0" t="s">
        <v>46</v>
      </c>
      <c r="O290" s="0" t="s">
        <v>46</v>
      </c>
    </row>
    <row r="291" customFormat="false" ht="15" hidden="false" customHeight="false" outlineLevel="0" collapsed="false">
      <c r="A291" s="0" t="s">
        <v>3024</v>
      </c>
      <c r="B291" s="0" t="s">
        <v>1441</v>
      </c>
      <c r="C291" s="0" t="s">
        <v>1442</v>
      </c>
      <c r="D291" s="0" t="s">
        <v>1443</v>
      </c>
      <c r="E291" s="0" t="s">
        <v>46</v>
      </c>
      <c r="F291" s="0" t="s">
        <v>46</v>
      </c>
      <c r="G291" s="0" t="s">
        <v>3025</v>
      </c>
      <c r="H291" s="0" t="s">
        <v>3026</v>
      </c>
      <c r="I291" s="0" t="s">
        <v>46</v>
      </c>
      <c r="J291" s="0" t="s">
        <v>46</v>
      </c>
      <c r="K291" s="0" t="s">
        <v>46</v>
      </c>
      <c r="L291" s="0" t="s">
        <v>46</v>
      </c>
      <c r="M291" s="0" t="s">
        <v>46</v>
      </c>
      <c r="N291" s="0" t="s">
        <v>46</v>
      </c>
      <c r="O291" s="0" t="s">
        <v>46</v>
      </c>
    </row>
    <row r="292" customFormat="false" ht="15" hidden="false" customHeight="false" outlineLevel="0" collapsed="false">
      <c r="A292" s="0" t="s">
        <v>3027</v>
      </c>
      <c r="B292" s="0" t="s">
        <v>53</v>
      </c>
      <c r="C292" s="0" t="s">
        <v>596</v>
      </c>
      <c r="D292" s="0" t="s">
        <v>597</v>
      </c>
      <c r="E292" s="0" t="s">
        <v>46</v>
      </c>
      <c r="F292" s="0" t="s">
        <v>46</v>
      </c>
      <c r="G292" s="0" t="s">
        <v>46</v>
      </c>
      <c r="H292" s="0" t="s">
        <v>46</v>
      </c>
      <c r="I292" s="0" t="s">
        <v>46</v>
      </c>
      <c r="J292" s="0" t="s">
        <v>46</v>
      </c>
      <c r="K292" s="0" t="s">
        <v>46</v>
      </c>
      <c r="L292" s="0" t="s">
        <v>46</v>
      </c>
      <c r="M292" s="0" t="s">
        <v>46</v>
      </c>
      <c r="N292" s="0" t="s">
        <v>46</v>
      </c>
      <c r="O292" s="0" t="s">
        <v>46</v>
      </c>
    </row>
    <row r="293" customFormat="false" ht="15" hidden="false" customHeight="false" outlineLevel="0" collapsed="false">
      <c r="A293" s="0" t="s">
        <v>3028</v>
      </c>
      <c r="B293" s="0" t="s">
        <v>46</v>
      </c>
      <c r="C293" s="0" t="s">
        <v>1848</v>
      </c>
      <c r="D293" s="0" t="s">
        <v>46</v>
      </c>
      <c r="E293" s="0" t="s">
        <v>46</v>
      </c>
      <c r="F293" s="0" t="s">
        <v>46</v>
      </c>
      <c r="G293" s="0" t="s">
        <v>46</v>
      </c>
      <c r="H293" s="0" t="s">
        <v>46</v>
      </c>
      <c r="I293" s="0" t="s">
        <v>46</v>
      </c>
      <c r="J293" s="0" t="s">
        <v>46</v>
      </c>
      <c r="K293" s="0" t="s">
        <v>46</v>
      </c>
      <c r="L293" s="0" t="s">
        <v>46</v>
      </c>
      <c r="M293" s="0" t="s">
        <v>46</v>
      </c>
      <c r="N293" s="0" t="s">
        <v>46</v>
      </c>
      <c r="O293" s="0" t="s">
        <v>46</v>
      </c>
    </row>
    <row r="294" customFormat="false" ht="15" hidden="false" customHeight="false" outlineLevel="0" collapsed="false">
      <c r="A294" s="0" t="s">
        <v>3029</v>
      </c>
      <c r="B294" s="0" t="s">
        <v>1523</v>
      </c>
      <c r="C294" s="0" t="s">
        <v>1524</v>
      </c>
      <c r="D294" s="0" t="s">
        <v>46</v>
      </c>
      <c r="E294" s="0" t="s">
        <v>46</v>
      </c>
      <c r="F294" s="0" t="s">
        <v>3030</v>
      </c>
      <c r="G294" s="0" t="s">
        <v>46</v>
      </c>
      <c r="H294" s="0" t="s">
        <v>46</v>
      </c>
      <c r="I294" s="0" t="s">
        <v>46</v>
      </c>
      <c r="J294" s="0" t="s">
        <v>46</v>
      </c>
      <c r="K294" s="0" t="s">
        <v>46</v>
      </c>
      <c r="L294" s="0" t="s">
        <v>46</v>
      </c>
      <c r="M294" s="0" t="s">
        <v>46</v>
      </c>
      <c r="N294" s="0" t="s">
        <v>46</v>
      </c>
      <c r="O294" s="0" t="s">
        <v>46</v>
      </c>
    </row>
    <row r="295" customFormat="false" ht="15" hidden="false" customHeight="false" outlineLevel="0" collapsed="false">
      <c r="A295" s="0" t="s">
        <v>3031</v>
      </c>
      <c r="B295" s="0" t="s">
        <v>1014</v>
      </c>
      <c r="C295" s="0" t="s">
        <v>1015</v>
      </c>
      <c r="D295" s="0" t="s">
        <v>1016</v>
      </c>
      <c r="E295" s="0" t="s">
        <v>46</v>
      </c>
      <c r="F295" s="0" t="s">
        <v>46</v>
      </c>
      <c r="G295" s="0" t="s">
        <v>3032</v>
      </c>
      <c r="H295" s="0" t="s">
        <v>3033</v>
      </c>
      <c r="I295" s="0" t="s">
        <v>46</v>
      </c>
      <c r="J295" s="0" t="s">
        <v>46</v>
      </c>
      <c r="K295" s="0" t="s">
        <v>46</v>
      </c>
      <c r="L295" s="0" t="s">
        <v>46</v>
      </c>
      <c r="M295" s="0" t="s">
        <v>46</v>
      </c>
      <c r="N295" s="0" t="s">
        <v>46</v>
      </c>
      <c r="O295" s="0" t="s">
        <v>46</v>
      </c>
    </row>
    <row r="296" customFormat="false" ht="15" hidden="false" customHeight="false" outlineLevel="0" collapsed="false">
      <c r="A296" s="0" t="s">
        <v>3034</v>
      </c>
      <c r="B296" s="0" t="s">
        <v>1563</v>
      </c>
      <c r="C296" s="0" t="s">
        <v>1564</v>
      </c>
      <c r="D296" s="0" t="s">
        <v>1565</v>
      </c>
      <c r="E296" s="0" t="s">
        <v>46</v>
      </c>
      <c r="F296" s="0" t="s">
        <v>46</v>
      </c>
      <c r="G296" s="0" t="s">
        <v>3035</v>
      </c>
      <c r="H296" s="0" t="s">
        <v>3036</v>
      </c>
      <c r="I296" s="0" t="s">
        <v>46</v>
      </c>
      <c r="J296" s="0" t="s">
        <v>46</v>
      </c>
      <c r="K296" s="0" t="s">
        <v>46</v>
      </c>
      <c r="L296" s="0" t="s">
        <v>46</v>
      </c>
      <c r="M296" s="0" t="s">
        <v>46</v>
      </c>
      <c r="N296" s="0" t="s">
        <v>46</v>
      </c>
      <c r="O296" s="0" t="s">
        <v>46</v>
      </c>
    </row>
    <row r="297" customFormat="false" ht="15" hidden="false" customHeight="false" outlineLevel="0" collapsed="false">
      <c r="A297" s="0" t="s">
        <v>3037</v>
      </c>
      <c r="B297" s="0" t="s">
        <v>603</v>
      </c>
      <c r="C297" s="0" t="s">
        <v>604</v>
      </c>
      <c r="D297" s="0" t="s">
        <v>605</v>
      </c>
      <c r="E297" s="0" t="s">
        <v>46</v>
      </c>
      <c r="F297" s="0" t="s">
        <v>3038</v>
      </c>
      <c r="G297" s="0" t="s">
        <v>3039</v>
      </c>
      <c r="H297" s="0" t="s">
        <v>3040</v>
      </c>
      <c r="I297" s="0" t="s">
        <v>46</v>
      </c>
      <c r="J297" s="0" t="s">
        <v>46</v>
      </c>
      <c r="K297" s="0" t="s">
        <v>46</v>
      </c>
      <c r="L297" s="0" t="s">
        <v>46</v>
      </c>
      <c r="M297" s="0" t="s">
        <v>46</v>
      </c>
      <c r="N297" s="0" t="s">
        <v>46</v>
      </c>
      <c r="O297" s="0" t="s">
        <v>46</v>
      </c>
    </row>
    <row r="298" customFormat="false" ht="15" hidden="false" customHeight="false" outlineLevel="0" collapsed="false">
      <c r="A298" s="0" t="s">
        <v>3041</v>
      </c>
      <c r="B298" s="0" t="s">
        <v>46</v>
      </c>
      <c r="C298" s="0" t="s">
        <v>1851</v>
      </c>
      <c r="D298" s="0" t="s">
        <v>46</v>
      </c>
      <c r="E298" s="0" t="s">
        <v>46</v>
      </c>
      <c r="F298" s="0" t="s">
        <v>46</v>
      </c>
      <c r="G298" s="0" t="s">
        <v>3042</v>
      </c>
      <c r="H298" s="0" t="s">
        <v>3043</v>
      </c>
      <c r="I298" s="0" t="s">
        <v>46</v>
      </c>
      <c r="J298" s="0" t="s">
        <v>46</v>
      </c>
      <c r="K298" s="0" t="s">
        <v>46</v>
      </c>
      <c r="L298" s="0" t="s">
        <v>46</v>
      </c>
      <c r="M298" s="0" t="s">
        <v>46</v>
      </c>
      <c r="N298" s="0" t="s">
        <v>46</v>
      </c>
      <c r="O298" s="0" t="s">
        <v>46</v>
      </c>
    </row>
    <row r="299" customFormat="false" ht="15" hidden="false" customHeight="false" outlineLevel="0" collapsed="false">
      <c r="A299" s="0" t="s">
        <v>3044</v>
      </c>
      <c r="B299" s="0" t="s">
        <v>1979</v>
      </c>
      <c r="C299" s="0" t="s">
        <v>1980</v>
      </c>
      <c r="D299" s="0" t="s">
        <v>1981</v>
      </c>
      <c r="E299" s="0" t="s">
        <v>46</v>
      </c>
      <c r="F299" s="0" t="s">
        <v>3045</v>
      </c>
      <c r="G299" s="0" t="s">
        <v>3046</v>
      </c>
      <c r="H299" s="0" t="s">
        <v>3047</v>
      </c>
      <c r="I299" s="0" t="s">
        <v>46</v>
      </c>
      <c r="J299" s="0" t="s">
        <v>46</v>
      </c>
      <c r="K299" s="0" t="s">
        <v>46</v>
      </c>
      <c r="L299" s="0" t="s">
        <v>46</v>
      </c>
      <c r="M299" s="0" t="s">
        <v>46</v>
      </c>
      <c r="N299" s="0" t="s">
        <v>46</v>
      </c>
      <c r="O299" s="0" t="s">
        <v>46</v>
      </c>
    </row>
    <row r="300" customFormat="false" ht="15" hidden="false" customHeight="false" outlineLevel="0" collapsed="false">
      <c r="A300" s="0" t="s">
        <v>3048</v>
      </c>
      <c r="B300" s="0" t="s">
        <v>1992</v>
      </c>
      <c r="C300" s="0" t="s">
        <v>1993</v>
      </c>
      <c r="D300" s="0" t="s">
        <v>1994</v>
      </c>
      <c r="E300" s="0" t="s">
        <v>46</v>
      </c>
      <c r="F300" s="0" t="s">
        <v>46</v>
      </c>
      <c r="G300" s="0" t="s">
        <v>3049</v>
      </c>
      <c r="H300" s="0" t="s">
        <v>3050</v>
      </c>
      <c r="I300" s="0" t="s">
        <v>46</v>
      </c>
      <c r="J300" s="0" t="s">
        <v>46</v>
      </c>
      <c r="K300" s="0" t="s">
        <v>46</v>
      </c>
      <c r="L300" s="0" t="s">
        <v>46</v>
      </c>
      <c r="M300" s="0" t="s">
        <v>46</v>
      </c>
      <c r="N300" s="0" t="s">
        <v>46</v>
      </c>
      <c r="O300" s="0" t="s">
        <v>46</v>
      </c>
    </row>
    <row r="301" customFormat="false" ht="15" hidden="false" customHeight="false" outlineLevel="0" collapsed="false">
      <c r="A301" s="0" t="s">
        <v>3051</v>
      </c>
      <c r="B301" s="0" t="s">
        <v>1295</v>
      </c>
      <c r="C301" s="0" t="s">
        <v>1296</v>
      </c>
      <c r="D301" s="0" t="s">
        <v>1297</v>
      </c>
      <c r="E301" s="0" t="s">
        <v>46</v>
      </c>
      <c r="F301" s="0" t="s">
        <v>46</v>
      </c>
      <c r="G301" s="0" t="s">
        <v>3052</v>
      </c>
      <c r="H301" s="0" t="s">
        <v>3053</v>
      </c>
      <c r="I301" s="0" t="s">
        <v>46</v>
      </c>
      <c r="J301" s="0" t="s">
        <v>46</v>
      </c>
      <c r="K301" s="0" t="s">
        <v>46</v>
      </c>
      <c r="L301" s="0" t="s">
        <v>46</v>
      </c>
      <c r="M301" s="0" t="s">
        <v>46</v>
      </c>
      <c r="N301" s="0" t="s">
        <v>46</v>
      </c>
      <c r="O301" s="0" t="s">
        <v>46</v>
      </c>
    </row>
    <row r="302" customFormat="false" ht="15" hidden="false" customHeight="false" outlineLevel="0" collapsed="false">
      <c r="A302" s="0" t="s">
        <v>3054</v>
      </c>
      <c r="B302" s="0" t="s">
        <v>1873</v>
      </c>
      <c r="C302" s="0" t="s">
        <v>1874</v>
      </c>
      <c r="D302" s="0" t="s">
        <v>56</v>
      </c>
      <c r="E302" s="0" t="s">
        <v>46</v>
      </c>
      <c r="F302" s="0" t="s">
        <v>46</v>
      </c>
      <c r="G302" s="0" t="s">
        <v>3055</v>
      </c>
      <c r="H302" s="0" t="s">
        <v>3056</v>
      </c>
      <c r="I302" s="0" t="s">
        <v>46</v>
      </c>
      <c r="J302" s="0" t="s">
        <v>46</v>
      </c>
      <c r="K302" s="0" t="s">
        <v>46</v>
      </c>
      <c r="L302" s="0" t="s">
        <v>46</v>
      </c>
      <c r="M302" s="0" t="s">
        <v>46</v>
      </c>
      <c r="N302" s="0" t="s">
        <v>46</v>
      </c>
      <c r="O302" s="0" t="s">
        <v>46</v>
      </c>
    </row>
    <row r="303" customFormat="false" ht="15" hidden="false" customHeight="false" outlineLevel="0" collapsed="false">
      <c r="A303" s="0" t="s">
        <v>3057</v>
      </c>
      <c r="B303" s="0" t="s">
        <v>480</v>
      </c>
      <c r="C303" s="0" t="s">
        <v>481</v>
      </c>
      <c r="D303" s="0" t="s">
        <v>56</v>
      </c>
      <c r="E303" s="0" t="s">
        <v>46</v>
      </c>
      <c r="F303" s="0" t="s">
        <v>46</v>
      </c>
      <c r="G303" s="0" t="s">
        <v>3058</v>
      </c>
      <c r="H303" s="0" t="s">
        <v>46</v>
      </c>
      <c r="I303" s="0" t="s">
        <v>46</v>
      </c>
      <c r="J303" s="0" t="s">
        <v>46</v>
      </c>
      <c r="K303" s="0" t="s">
        <v>46</v>
      </c>
      <c r="L303" s="0" t="s">
        <v>46</v>
      </c>
      <c r="M303" s="0" t="s">
        <v>46</v>
      </c>
      <c r="N303" s="0" t="s">
        <v>46</v>
      </c>
      <c r="O303" s="0" t="s">
        <v>46</v>
      </c>
    </row>
    <row r="304" customFormat="false" ht="15" hidden="false" customHeight="false" outlineLevel="0" collapsed="false">
      <c r="A304" s="0" t="s">
        <v>3059</v>
      </c>
      <c r="B304" s="0" t="s">
        <v>54</v>
      </c>
      <c r="C304" s="0" t="s">
        <v>55</v>
      </c>
      <c r="D304" s="0" t="s">
        <v>56</v>
      </c>
      <c r="E304" s="0" t="s">
        <v>46</v>
      </c>
      <c r="F304" s="0" t="s">
        <v>46</v>
      </c>
      <c r="G304" s="0" t="s">
        <v>3060</v>
      </c>
      <c r="H304" s="0" t="s">
        <v>3061</v>
      </c>
      <c r="I304" s="0" t="s">
        <v>46</v>
      </c>
      <c r="J304" s="0" t="s">
        <v>46</v>
      </c>
      <c r="K304" s="0" t="s">
        <v>46</v>
      </c>
      <c r="L304" s="0" t="s">
        <v>46</v>
      </c>
      <c r="M304" s="0" t="s">
        <v>46</v>
      </c>
      <c r="N304" s="0" t="s">
        <v>46</v>
      </c>
      <c r="O304" s="0" t="s">
        <v>46</v>
      </c>
    </row>
  </sheetData>
  <printOptions headings="false" gridLines="false" gridLinesSet="true" horizontalCentered="false" verticalCentered="false"/>
  <pageMargins left="0.75" right="0.75" top="1" bottom="1"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6</TotalTime>
  <Application>LibreOffice/7.3.4.2$Linux_X86_64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2022-07-30T07:03:23Z</dcterms:created>
  <dc:creator>openpyxl</dc:creator>
  <dc:description/>
  <dc:language>en-US</dc:language>
  <cp:lastModifiedBy/>
  <dcterms:modified xsi:type="dcterms:W3CDTF">2022-08-03T19:16:53Z</dcterms:modified>
  <cp:revision>2</cp:revision>
  <dc:subject/>
  <dc:title/>
</cp:coreProperties>
</file>

<file path=docProps/custom.xml><?xml version="1.0" encoding="utf-8"?>
<Properties xmlns="http://schemas.openxmlformats.org/officeDocument/2006/custom-properties" xmlns:vt="http://schemas.openxmlformats.org/officeDocument/2006/docPropsVTypes"/>
</file>